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Arrest Disproportionality\2017 For Web Developer\"/>
    </mc:Choice>
  </mc:AlternateContent>
  <bookViews>
    <workbookView xWindow="0" yWindow="0" windowWidth="29070" windowHeight="16470"/>
  </bookViews>
  <sheets>
    <sheet name="Educational Attainment" sheetId="6" r:id="rId1"/>
  </sheets>
  <calcPr calcId="152511"/>
</workbook>
</file>

<file path=xl/calcChain.xml><?xml version="1.0" encoding="utf-8"?>
<calcChain xmlns="http://schemas.openxmlformats.org/spreadsheetml/2006/main">
  <c r="L176" i="6" l="1"/>
  <c r="H154" i="6"/>
  <c r="H153" i="6"/>
  <c r="H152" i="6"/>
  <c r="H151" i="6"/>
  <c r="F154" i="6"/>
  <c r="F153" i="6"/>
  <c r="F152" i="6"/>
  <c r="F151" i="6"/>
  <c r="D154" i="6"/>
  <c r="D153" i="6"/>
  <c r="D152" i="6"/>
  <c r="D151" i="6"/>
  <c r="D165" i="6"/>
  <c r="F179" i="6"/>
  <c r="D164" i="6"/>
  <c r="D163" i="6"/>
  <c r="D162" i="6"/>
  <c r="C176" i="6"/>
  <c r="J154" i="6"/>
  <c r="J153" i="6"/>
  <c r="J152" i="6"/>
  <c r="J151" i="6"/>
  <c r="C162" i="6"/>
  <c r="I151" i="6"/>
  <c r="G151" i="6"/>
  <c r="E151" i="6"/>
  <c r="C151" i="6"/>
  <c r="D139" i="6"/>
  <c r="L178" i="6"/>
  <c r="L177" i="6"/>
  <c r="I154" i="6"/>
  <c r="L179" i="6"/>
  <c r="G154" i="6"/>
  <c r="E154" i="6"/>
  <c r="C154" i="6"/>
  <c r="E178" i="6"/>
  <c r="F142" i="6"/>
  <c r="D125" i="6"/>
  <c r="F139" i="6"/>
  <c r="J116" i="6"/>
  <c r="F114" i="6"/>
  <c r="D115" i="6"/>
  <c r="J115" i="6"/>
  <c r="H115" i="6"/>
  <c r="H116" i="6"/>
  <c r="H117" i="6"/>
  <c r="H114" i="6"/>
  <c r="F117" i="6"/>
  <c r="D114" i="6"/>
  <c r="J114" i="6"/>
  <c r="J117" i="6"/>
  <c r="F116" i="6"/>
  <c r="F115" i="6"/>
  <c r="D117" i="6"/>
  <c r="D116" i="6"/>
  <c r="I82" i="6"/>
  <c r="J77" i="6"/>
  <c r="G82" i="6"/>
  <c r="H80" i="6"/>
  <c r="E82" i="6"/>
  <c r="C82" i="6"/>
  <c r="D78" i="6"/>
  <c r="D77" i="6"/>
  <c r="I77" i="6"/>
  <c r="G77" i="6"/>
  <c r="H77" i="6"/>
  <c r="E77" i="6"/>
  <c r="F77" i="6"/>
  <c r="C77" i="6"/>
  <c r="I78" i="6"/>
  <c r="J78" i="6"/>
  <c r="G78" i="6"/>
  <c r="H78" i="6"/>
  <c r="E78" i="6"/>
  <c r="F78" i="6"/>
  <c r="C78" i="6"/>
  <c r="I80" i="6"/>
  <c r="J80" i="6"/>
  <c r="G80" i="6"/>
  <c r="E80" i="6"/>
  <c r="F80" i="6"/>
  <c r="C80" i="6"/>
  <c r="I79" i="6"/>
  <c r="J79" i="6"/>
  <c r="G79" i="6"/>
  <c r="E79" i="6"/>
  <c r="C79" i="6"/>
  <c r="D79" i="6"/>
  <c r="C90" i="6"/>
  <c r="D90" i="6"/>
  <c r="F104" i="6"/>
  <c r="E104" i="6"/>
  <c r="C91" i="6"/>
  <c r="C88" i="6"/>
  <c r="D88" i="6"/>
  <c r="C89" i="6"/>
  <c r="D89" i="6"/>
  <c r="F103" i="6"/>
  <c r="C93" i="6"/>
  <c r="D126" i="6"/>
  <c r="F140" i="6"/>
  <c r="E140" i="6"/>
  <c r="C29" i="6"/>
  <c r="D29" i="6"/>
  <c r="E29" i="6"/>
  <c r="G29" i="6"/>
  <c r="H29" i="6"/>
  <c r="I29" i="6"/>
  <c r="C30" i="6"/>
  <c r="E30" i="6"/>
  <c r="F30" i="6"/>
  <c r="G30" i="6"/>
  <c r="I30" i="6"/>
  <c r="C31" i="6"/>
  <c r="D31" i="6"/>
  <c r="E31" i="6"/>
  <c r="F31" i="6"/>
  <c r="G31" i="6"/>
  <c r="H31" i="6"/>
  <c r="I31" i="6"/>
  <c r="J31" i="6"/>
  <c r="C32" i="6"/>
  <c r="E32" i="6"/>
  <c r="G32" i="6"/>
  <c r="H32" i="6"/>
  <c r="I32" i="6"/>
  <c r="C33" i="6"/>
  <c r="D33" i="6"/>
  <c r="E33" i="6"/>
  <c r="G33" i="6"/>
  <c r="H33" i="6"/>
  <c r="I33" i="6"/>
  <c r="J33" i="6"/>
  <c r="C34" i="6"/>
  <c r="E34" i="6"/>
  <c r="G34" i="6"/>
  <c r="H34" i="6"/>
  <c r="I34" i="6"/>
  <c r="C35" i="6"/>
  <c r="D35" i="6"/>
  <c r="E35" i="6"/>
  <c r="G35" i="6"/>
  <c r="H35" i="6"/>
  <c r="I35" i="6"/>
  <c r="J35" i="6"/>
  <c r="C37" i="6"/>
  <c r="E37" i="6"/>
  <c r="F35" i="6"/>
  <c r="F29" i="6"/>
  <c r="G37" i="6"/>
  <c r="H30" i="6"/>
  <c r="I37" i="6"/>
  <c r="J32" i="6"/>
  <c r="J29" i="6"/>
  <c r="C43" i="6"/>
  <c r="D43" i="6"/>
  <c r="C44" i="6"/>
  <c r="D44" i="6"/>
  <c r="C45" i="6"/>
  <c r="D45" i="6"/>
  <c r="C47" i="6"/>
  <c r="D47" i="6"/>
  <c r="C48" i="6"/>
  <c r="D48" i="6"/>
  <c r="C49" i="6"/>
  <c r="D49" i="6"/>
  <c r="C51" i="6"/>
  <c r="D46" i="6"/>
  <c r="F79" i="6"/>
  <c r="F33" i="6"/>
  <c r="C140" i="6"/>
  <c r="D140" i="6"/>
  <c r="C104" i="6"/>
  <c r="D104" i="6"/>
  <c r="D32" i="6"/>
  <c r="D128" i="6"/>
  <c r="C142" i="6"/>
  <c r="E139" i="6"/>
  <c r="E142" i="6"/>
  <c r="J30" i="6"/>
  <c r="D30" i="6"/>
  <c r="D34" i="6"/>
  <c r="C139" i="6"/>
  <c r="C102" i="6"/>
  <c r="F102" i="6"/>
  <c r="D102" i="6"/>
  <c r="E102" i="6"/>
  <c r="E177" i="6"/>
  <c r="D177" i="6"/>
  <c r="C177" i="6"/>
  <c r="F177" i="6"/>
  <c r="E176" i="6"/>
  <c r="E103" i="6"/>
  <c r="C103" i="6"/>
  <c r="F32" i="6"/>
  <c r="F34" i="6"/>
  <c r="J34" i="6"/>
  <c r="D91" i="6"/>
  <c r="H79" i="6"/>
  <c r="D80" i="6"/>
  <c r="D127" i="6"/>
  <c r="D178" i="6"/>
  <c r="F178" i="6"/>
  <c r="C178" i="6"/>
  <c r="D142" i="6"/>
  <c r="D103" i="6"/>
  <c r="C141" i="6"/>
  <c r="F141" i="6"/>
  <c r="E141" i="6"/>
  <c r="D141" i="6"/>
  <c r="C105" i="6"/>
  <c r="F105" i="6"/>
  <c r="E105" i="6"/>
  <c r="D105" i="6"/>
  <c r="D179" i="6"/>
  <c r="C179" i="6"/>
  <c r="E179" i="6"/>
  <c r="F176" i="6"/>
  <c r="D176" i="6"/>
</calcChain>
</file>

<file path=xl/sharedStrings.xml><?xml version="1.0" encoding="utf-8"?>
<sst xmlns="http://schemas.openxmlformats.org/spreadsheetml/2006/main" count="229" uniqueCount="56">
  <si>
    <t>African American Data from Table C15002B</t>
    <phoneticPr fontId="3" type="noConversion"/>
  </si>
  <si>
    <t>Native American Data from Table C15002C</t>
    <phoneticPr fontId="3" type="noConversion"/>
  </si>
  <si>
    <t>Asian Data from Table C15002D</t>
    <phoneticPr fontId="3" type="noConversion"/>
  </si>
  <si>
    <t>Some Other Race</t>
    <phoneticPr fontId="3" type="noConversion"/>
  </si>
  <si>
    <t>Some Other Race Data from Table C15002F</t>
    <phoneticPr fontId="3" type="noConversion"/>
  </si>
  <si>
    <t>Two or More Races Data from Table C15002G</t>
    <phoneticPr fontId="3" type="noConversion"/>
  </si>
  <si>
    <t># 25 and over</t>
    <phoneticPr fontId="3" type="noConversion"/>
  </si>
  <si>
    <t>%25 and over</t>
    <phoneticPr fontId="3" type="noConversion"/>
  </si>
  <si>
    <t>Total Population Data from Table DP05, B01001B, B01001C, B01001D, B01001F, B01001G, B01001H, B01001I</t>
    <phoneticPr fontId="3" type="noConversion"/>
  </si>
  <si>
    <t>Disproportionality Ratio - Educational Attainment in 2012</t>
    <phoneticPr fontId="3" type="noConversion"/>
  </si>
  <si>
    <t>% Less than a HS Diploma</t>
    <phoneticPr fontId="3" type="noConversion"/>
  </si>
  <si>
    <t># Less than a HS Diploma</t>
    <phoneticPr fontId="3" type="noConversion"/>
  </si>
  <si>
    <t># HS Graduate (or Equivalent)</t>
    <phoneticPr fontId="3" type="noConversion"/>
  </si>
  <si>
    <t>% HS Graduate (or Equivalent)</t>
    <phoneticPr fontId="3" type="noConversion"/>
  </si>
  <si>
    <t># Some College or Associate's Degree</t>
    <phoneticPr fontId="3" type="noConversion"/>
  </si>
  <si>
    <t>Total</t>
    <phoneticPr fontId="3" type="noConversion"/>
  </si>
  <si>
    <t>Total</t>
    <phoneticPr fontId="3" type="noConversion"/>
  </si>
  <si>
    <t>% Some College or Associate's Degree</t>
    <phoneticPr fontId="3" type="noConversion"/>
  </si>
  <si>
    <t># Bachelor's Degree or Higher</t>
    <phoneticPr fontId="3" type="noConversion"/>
  </si>
  <si>
    <t>% Bachelor's Degree or Higher</t>
    <phoneticPr fontId="3" type="noConversion"/>
  </si>
  <si>
    <t>Hispanic Data from Table B15002I</t>
    <phoneticPr fontId="3" type="noConversion"/>
  </si>
  <si>
    <t>Hispanic</t>
  </si>
  <si>
    <t>White</t>
  </si>
  <si>
    <t>Native American</t>
  </si>
  <si>
    <t>Asian</t>
  </si>
  <si>
    <t>Two or More Races</t>
  </si>
  <si>
    <t>Travis County</t>
  </si>
  <si>
    <t>Disproportionality Ratio - Educational Attainment in 2011</t>
  </si>
  <si>
    <t>Less than a HS Diploma</t>
  </si>
  <si>
    <t>HS Graduate (or Equivalent)</t>
  </si>
  <si>
    <t>Some College or Associate's Degree</t>
  </si>
  <si>
    <t>Bachelor's Degree or Higher</t>
  </si>
  <si>
    <t>Texas</t>
  </si>
  <si>
    <t>Black</t>
  </si>
  <si>
    <t>Disproportionality Ratio - Educational Attainment in 2012</t>
  </si>
  <si>
    <t>Disproportionality Ratio - Educational Attainment in 2013</t>
  </si>
  <si>
    <t>Total Population Data from Table DP05, B01001B, B01001C, B01001D, B01001F, B01001G, B01001H, B01001I</t>
  </si>
  <si>
    <t>Total by Educational Attainment from Table DP02</t>
  </si>
  <si>
    <t>% Less than a HS Diploma</t>
  </si>
  <si>
    <t>% HS Graduate (or Equivalent)</t>
  </si>
  <si>
    <t>% Some College or Associate's Degree</t>
  </si>
  <si>
    <t>% Bachelor's Degree or Higher</t>
  </si>
  <si>
    <t>Disproportionality Ratio - Educational Attainment in 2014</t>
  </si>
  <si>
    <t>Disproportionality Ratio - Educational Attainment in 2015</t>
  </si>
  <si>
    <t>White Data from Table C15002H</t>
  </si>
  <si>
    <t>Total Population Data from Table DP05</t>
  </si>
  <si>
    <t>Hispanic Data from Table C15002I</t>
  </si>
  <si>
    <t>B01001B</t>
  </si>
  <si>
    <t>B01001I</t>
  </si>
  <si>
    <t>B01001H</t>
  </si>
  <si>
    <t>Asian Data from Table C15002D</t>
  </si>
  <si>
    <t>Data Source</t>
  </si>
  <si>
    <t>B01001D</t>
  </si>
  <si>
    <t>Black Data from Table C15002B</t>
  </si>
  <si>
    <t>American Community Survey, 1-Year Estimates</t>
  </si>
  <si>
    <t>Total Educational Attainment from Table DP02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</si>
</sst>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7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164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0" fontId="5" fillId="0" borderId="0" xfId="0" applyFont="1" applyAlignment="1">
      <alignment wrapText="1"/>
    </xf>
    <xf numFmtId="178" fontId="2" fillId="0" borderId="0" xfId="1" applyNumberFormat="1" applyFont="1"/>
    <xf numFmtId="178" fontId="7" fillId="0" borderId="0" xfId="1" applyNumberFormat="1" applyFont="1"/>
    <xf numFmtId="178" fontId="7" fillId="0" borderId="0" xfId="0" applyNumberFormat="1" applyFont="1"/>
    <xf numFmtId="9" fontId="7" fillId="0" borderId="0" xfId="2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Educational Attainment Levels in Travis County,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Attainment'!$B$176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'Educational Attainment'!$C$175:$F$175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Attainment'!$C$176:$F$176</c:f>
              <c:numCache>
                <c:formatCode>0.0</c:formatCode>
                <c:ptCount val="4"/>
                <c:pt idx="0">
                  <c:v>0.80601900695838713</c:v>
                </c:pt>
                <c:pt idx="1">
                  <c:v>0.46025606375221756</c:v>
                </c:pt>
                <c:pt idx="2">
                  <c:v>0.47362947432026192</c:v>
                </c:pt>
                <c:pt idx="3">
                  <c:v>1.6191383363044203</c:v>
                </c:pt>
              </c:numCache>
            </c:numRef>
          </c:val>
        </c:ser>
        <c:ser>
          <c:idx val="1"/>
          <c:order val="1"/>
          <c:tx>
            <c:strRef>
              <c:f>'Educational Attainment'!$B$177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'Educational Attainment'!$C$175:$F$175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Attainment'!$C$177:$F$177</c:f>
              <c:numCache>
                <c:formatCode>0.0</c:formatCode>
                <c:ptCount val="4"/>
                <c:pt idx="0">
                  <c:v>0.87859791836642009</c:v>
                </c:pt>
                <c:pt idx="1">
                  <c:v>1.565555935883064</c:v>
                </c:pt>
                <c:pt idx="2">
                  <c:v>1.5263145942553673</c:v>
                </c:pt>
                <c:pt idx="3">
                  <c:v>0.58998919441744901</c:v>
                </c:pt>
              </c:numCache>
            </c:numRef>
          </c:val>
        </c:ser>
        <c:ser>
          <c:idx val="2"/>
          <c:order val="2"/>
          <c:tx>
            <c:strRef>
              <c:f>'Educational Attainment'!$B$178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'Educational Attainment'!$C$175:$F$175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Attainment'!$C$178:$F$178</c:f>
              <c:numCache>
                <c:formatCode>0.0</c:formatCode>
                <c:ptCount val="4"/>
                <c:pt idx="0">
                  <c:v>2.7785757183227204</c:v>
                </c:pt>
                <c:pt idx="1">
                  <c:v>1.7353554261084019</c:v>
                </c:pt>
                <c:pt idx="2">
                  <c:v>0.80375881693258489</c:v>
                </c:pt>
                <c:pt idx="3">
                  <c:v>0.45296205334167705</c:v>
                </c:pt>
              </c:numCache>
            </c:numRef>
          </c:val>
        </c:ser>
        <c:ser>
          <c:idx val="3"/>
          <c:order val="3"/>
          <c:tx>
            <c:strRef>
              <c:f>'Educational Attainment'!$B$179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'Educational Attainment'!$C$175:$F$175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Attainment'!$C$179:$F$179</c:f>
              <c:numCache>
                <c:formatCode>0.0</c:formatCode>
                <c:ptCount val="4"/>
                <c:pt idx="0">
                  <c:v>0.22877525395806964</c:v>
                </c:pt>
                <c:pt idx="1">
                  <c:v>0.68489056827360972</c:v>
                </c:pt>
                <c:pt idx="2">
                  <c:v>1.0027049922443396</c:v>
                </c:pt>
                <c:pt idx="3">
                  <c:v>1.3826547851967816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72336"/>
        <c:axId val="248680488"/>
      </c:barChart>
      <c:catAx>
        <c:axId val="2486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8680488"/>
        <c:crosses val="autoZero"/>
        <c:auto val="1"/>
        <c:lblAlgn val="ctr"/>
        <c:lblOffset val="100"/>
        <c:noMultiLvlLbl val="0"/>
      </c:catAx>
      <c:valAx>
        <c:axId val="24868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867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Attainment'!$L$175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dPt>
          <c:cat>
            <c:strRef>
              <c:f>'Educational Attainment'!$K$176:$K$179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Attainment'!$L$176:$L$179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48858496"/>
        <c:axId val="248871168"/>
      </c:barChart>
      <c:catAx>
        <c:axId val="2488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8871168"/>
        <c:crosses val="autoZero"/>
        <c:auto val="1"/>
        <c:lblAlgn val="ctr"/>
        <c:lblOffset val="100"/>
        <c:noMultiLvlLbl val="0"/>
      </c:catAx>
      <c:valAx>
        <c:axId val="24887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885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41275</xdr:colOff>
      <xdr:row>150</xdr:row>
      <xdr:rowOff>9525</xdr:rowOff>
    </xdr:from>
    <xdr:to>
      <xdr:col>23</xdr:col>
      <xdr:colOff>549275</xdr:colOff>
      <xdr:row>165</xdr:row>
      <xdr:rowOff>104775</xdr:rowOff>
    </xdr:to>
    <xdr:graphicFrame macro="">
      <xdr:nvGraphicFramePr>
        <xdr:cNvPr id="2472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31750</xdr:colOff>
      <xdr:row>150</xdr:row>
      <xdr:rowOff>0</xdr:rowOff>
    </xdr:from>
    <xdr:to>
      <xdr:col>29</xdr:col>
      <xdr:colOff>190500</xdr:colOff>
      <xdr:row>165</xdr:row>
      <xdr:rowOff>114300</xdr:rowOff>
    </xdr:to>
    <xdr:graphicFrame macro="">
      <xdr:nvGraphicFramePr>
        <xdr:cNvPr id="2472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0.10374</cdr:x>
      <cdr:y>0.49025</cdr:y>
    </cdr:from>
    <cdr:to>
      <cdr:x>0.96257</cdr:x>
      <cdr:y>0.49062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5770" y="1312285"/>
          <a:ext cx="2945183" cy="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0.2694</cdr:x>
      <cdr:y>0.37518</cdr:y>
    </cdr:from>
    <cdr:to>
      <cdr:x>0.2694</cdr:x>
      <cdr:y>0.49083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925830" y="1013460"/>
          <a:ext cx="0" cy="31242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0.10451</cdr:x>
      <cdr:y>0.37374</cdr:y>
    </cdr:from>
    <cdr:to>
      <cdr:x>0.95998</cdr:x>
      <cdr:y>0.37419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358194" y="993454"/>
          <a:ext cx="2931885" cy="119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0.26275</cdr:x>
      <cdr:y>0.40448</cdr:y>
    </cdr:from>
    <cdr:to>
      <cdr:x>0.77938</cdr:x>
      <cdr:y>0.48969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00503" y="1075169"/>
          <a:ext cx="1770610" cy="22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0.26912</cdr:x>
      <cdr:y>0.28744</cdr:y>
    </cdr:from>
    <cdr:to>
      <cdr:x>0.26918</cdr:x>
      <cdr:y>0.36587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H="1" flipV="1">
          <a:off x="922353" y="764063"/>
          <a:ext cx="195" cy="20848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0.26051</cdr:x>
      <cdr:y>0.29021</cdr:y>
    </cdr:from>
    <cdr:to>
      <cdr:x>0.77714</cdr:x>
      <cdr:y>0.36594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892830" y="771428"/>
          <a:ext cx="1770610" cy="20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High Disproportion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topLeftCell="A150" zoomScale="75" zoomScaleNormal="75" workbookViewId="0">
      <selection activeCell="A148" sqref="A1:IV65536"/>
    </sheetView>
  </sheetViews>
  <sheetFormatPr defaultColWidth="8.85546875" defaultRowHeight="11.25" x14ac:dyDescent="0.2"/>
  <cols>
    <col min="1" max="1" width="12.28515625" style="3" customWidth="1"/>
    <col min="2" max="2" width="18.42578125" style="3" customWidth="1"/>
    <col min="3" max="3" width="10.42578125" style="3" customWidth="1"/>
    <col min="4" max="5" width="10.140625" style="3" customWidth="1"/>
    <col min="6" max="7" width="10.28515625" style="3" customWidth="1"/>
    <col min="8" max="10" width="8.85546875" style="3"/>
    <col min="11" max="11" width="15.5703125" style="3" customWidth="1"/>
    <col min="12" max="12" width="8.85546875" style="3"/>
    <col min="13" max="13" width="25.5703125" style="3" customWidth="1"/>
    <col min="14" max="16384" width="8.85546875" style="3"/>
  </cols>
  <sheetData>
    <row r="1" spans="1:7" x14ac:dyDescent="0.2">
      <c r="A1" s="1" t="s">
        <v>27</v>
      </c>
      <c r="B1" s="2"/>
      <c r="C1" s="2"/>
      <c r="D1" s="2"/>
      <c r="E1" s="2"/>
      <c r="F1" s="2"/>
      <c r="G1" s="2"/>
    </row>
    <row r="2" spans="1:7" x14ac:dyDescent="0.2">
      <c r="A2" s="4" t="s">
        <v>26</v>
      </c>
      <c r="B2" s="2"/>
      <c r="C2" s="2"/>
      <c r="D2" s="2"/>
      <c r="E2" s="2"/>
      <c r="F2" s="2"/>
      <c r="G2" s="2"/>
    </row>
    <row r="3" spans="1:7" s="7" customFormat="1" ht="45" x14ac:dyDescent="0.2">
      <c r="A3" s="5"/>
      <c r="B3" s="5"/>
      <c r="C3" s="6" t="s">
        <v>28</v>
      </c>
      <c r="D3" s="6" t="s">
        <v>29</v>
      </c>
      <c r="E3" s="6" t="s">
        <v>30</v>
      </c>
      <c r="F3" s="6" t="s">
        <v>31</v>
      </c>
      <c r="G3" s="6"/>
    </row>
    <row r="4" spans="1:7" x14ac:dyDescent="0.2">
      <c r="A4" s="2"/>
      <c r="B4" s="8" t="s">
        <v>21</v>
      </c>
      <c r="C4" s="9">
        <v>2.8</v>
      </c>
      <c r="D4" s="9">
        <v>1.5</v>
      </c>
      <c r="E4" s="9">
        <v>0.9</v>
      </c>
      <c r="F4" s="9">
        <v>0.4</v>
      </c>
      <c r="G4" s="10"/>
    </row>
    <row r="5" spans="1:7" x14ac:dyDescent="0.2">
      <c r="A5" s="2"/>
      <c r="B5" s="8" t="s">
        <v>22</v>
      </c>
      <c r="C5" s="9">
        <v>0.2</v>
      </c>
      <c r="D5" s="9">
        <v>0.7</v>
      </c>
      <c r="E5" s="9">
        <v>1</v>
      </c>
      <c r="F5" s="9">
        <v>1.3</v>
      </c>
      <c r="G5" s="10"/>
    </row>
    <row r="6" spans="1:7" x14ac:dyDescent="0.2">
      <c r="A6" s="2"/>
      <c r="B6" s="8" t="s">
        <v>33</v>
      </c>
      <c r="C6" s="9">
        <v>0.8</v>
      </c>
      <c r="D6" s="9">
        <v>1.6</v>
      </c>
      <c r="E6" s="9">
        <v>1.5</v>
      </c>
      <c r="F6" s="9">
        <v>0.5</v>
      </c>
      <c r="G6" s="10"/>
    </row>
    <row r="7" spans="1:7" x14ac:dyDescent="0.2">
      <c r="A7" s="2"/>
      <c r="B7" s="8" t="s">
        <v>23</v>
      </c>
      <c r="C7" s="9">
        <v>1</v>
      </c>
      <c r="D7" s="9">
        <v>1</v>
      </c>
      <c r="E7" s="9">
        <v>1</v>
      </c>
      <c r="F7" s="9">
        <v>0</v>
      </c>
      <c r="G7" s="10"/>
    </row>
    <row r="8" spans="1:7" x14ac:dyDescent="0.2">
      <c r="A8" s="2"/>
      <c r="B8" s="8" t="s">
        <v>24</v>
      </c>
      <c r="C8" s="9">
        <v>0.8</v>
      </c>
      <c r="D8" s="9">
        <v>0.8</v>
      </c>
      <c r="E8" s="9">
        <v>0.6</v>
      </c>
      <c r="F8" s="9">
        <v>1.6</v>
      </c>
      <c r="G8" s="10"/>
    </row>
    <row r="9" spans="1:7" x14ac:dyDescent="0.2">
      <c r="B9" s="8" t="s">
        <v>25</v>
      </c>
      <c r="C9" s="9">
        <v>0</v>
      </c>
      <c r="D9" s="9">
        <v>1</v>
      </c>
      <c r="E9" s="9">
        <v>1.5</v>
      </c>
      <c r="F9" s="9">
        <v>1</v>
      </c>
    </row>
    <row r="11" spans="1:7" x14ac:dyDescent="0.2">
      <c r="A11" s="1" t="s">
        <v>27</v>
      </c>
      <c r="B11" s="2"/>
      <c r="C11" s="2"/>
      <c r="D11" s="2"/>
      <c r="E11" s="2"/>
      <c r="F11" s="2"/>
      <c r="G11" s="2"/>
    </row>
    <row r="12" spans="1:7" x14ac:dyDescent="0.2">
      <c r="A12" s="4" t="s">
        <v>32</v>
      </c>
      <c r="B12" s="2"/>
      <c r="C12" s="2"/>
      <c r="D12" s="2"/>
      <c r="E12" s="2"/>
      <c r="F12" s="2"/>
      <c r="G12" s="2"/>
    </row>
    <row r="13" spans="1:7" ht="45" x14ac:dyDescent="0.2">
      <c r="A13" s="5"/>
      <c r="B13" s="5"/>
      <c r="C13" s="6" t="s">
        <v>28</v>
      </c>
      <c r="D13" s="6" t="s">
        <v>29</v>
      </c>
      <c r="E13" s="6" t="s">
        <v>30</v>
      </c>
      <c r="F13" s="6" t="s">
        <v>31</v>
      </c>
      <c r="G13" s="6"/>
    </row>
    <row r="14" spans="1:7" x14ac:dyDescent="0.2">
      <c r="A14" s="2"/>
      <c r="B14" s="8" t="s">
        <v>21</v>
      </c>
      <c r="C14" s="9">
        <v>2.1</v>
      </c>
      <c r="D14" s="9">
        <v>1</v>
      </c>
      <c r="E14" s="9">
        <v>0.8</v>
      </c>
      <c r="F14" s="9">
        <v>0.5</v>
      </c>
      <c r="G14" s="10"/>
    </row>
    <row r="15" spans="1:7" x14ac:dyDescent="0.2">
      <c r="A15" s="2"/>
      <c r="B15" s="8" t="s">
        <v>22</v>
      </c>
      <c r="C15" s="9">
        <v>0.4</v>
      </c>
      <c r="D15" s="9">
        <v>1</v>
      </c>
      <c r="E15" s="9">
        <v>1.1000000000000001</v>
      </c>
      <c r="F15" s="9">
        <v>1.3</v>
      </c>
      <c r="G15" s="10"/>
    </row>
    <row r="16" spans="1:7" x14ac:dyDescent="0.2">
      <c r="A16" s="2"/>
      <c r="B16" s="8" t="s">
        <v>33</v>
      </c>
      <c r="C16" s="9">
        <v>0.7</v>
      </c>
      <c r="D16" s="9">
        <v>1.2</v>
      </c>
      <c r="E16" s="9">
        <v>1.3</v>
      </c>
      <c r="F16" s="9">
        <v>0.8</v>
      </c>
      <c r="G16" s="10"/>
    </row>
    <row r="17" spans="1:13" x14ac:dyDescent="0.2">
      <c r="A17" s="2"/>
      <c r="B17" s="8" t="s">
        <v>23</v>
      </c>
      <c r="C17" s="9">
        <v>2</v>
      </c>
      <c r="D17" s="9">
        <v>1</v>
      </c>
      <c r="E17" s="9">
        <v>2</v>
      </c>
      <c r="F17" s="9">
        <v>1</v>
      </c>
      <c r="G17" s="10"/>
    </row>
    <row r="18" spans="1:13" x14ac:dyDescent="0.2">
      <c r="A18" s="2"/>
      <c r="B18" s="8" t="s">
        <v>24</v>
      </c>
      <c r="C18" s="9">
        <v>0.8</v>
      </c>
      <c r="D18" s="9">
        <v>0.5</v>
      </c>
      <c r="E18" s="9">
        <v>0.8</v>
      </c>
      <c r="F18" s="9">
        <v>2</v>
      </c>
      <c r="G18" s="10"/>
    </row>
    <row r="19" spans="1:13" x14ac:dyDescent="0.2">
      <c r="B19" s="8" t="s">
        <v>25</v>
      </c>
      <c r="C19" s="9">
        <v>0.5</v>
      </c>
      <c r="D19" s="9">
        <v>0.5</v>
      </c>
      <c r="E19" s="9">
        <v>1</v>
      </c>
      <c r="F19" s="9">
        <v>1</v>
      </c>
    </row>
    <row r="26" spans="1:13" x14ac:dyDescent="0.2">
      <c r="A26" s="1" t="s">
        <v>34</v>
      </c>
      <c r="B26" s="2"/>
      <c r="C26" s="2"/>
      <c r="D26" s="2"/>
      <c r="E26" s="2"/>
      <c r="F26" s="2"/>
    </row>
    <row r="27" spans="1:13" x14ac:dyDescent="0.2">
      <c r="A27" s="4" t="s">
        <v>26</v>
      </c>
      <c r="B27" s="2"/>
      <c r="C27" s="2"/>
      <c r="D27" s="2"/>
      <c r="E27" s="2"/>
      <c r="F27" s="2"/>
    </row>
    <row r="28" spans="1:13" ht="56.25" x14ac:dyDescent="0.2">
      <c r="A28" s="5"/>
      <c r="B28" s="5"/>
      <c r="C28" s="6" t="s">
        <v>11</v>
      </c>
      <c r="D28" s="6" t="s">
        <v>10</v>
      </c>
      <c r="E28" s="6" t="s">
        <v>12</v>
      </c>
      <c r="F28" s="6" t="s">
        <v>13</v>
      </c>
      <c r="G28" s="6" t="s">
        <v>14</v>
      </c>
      <c r="H28" s="6" t="s">
        <v>17</v>
      </c>
      <c r="I28" s="6" t="s">
        <v>18</v>
      </c>
      <c r="J28" s="6" t="s">
        <v>19</v>
      </c>
      <c r="M28" s="3" t="s">
        <v>8</v>
      </c>
    </row>
    <row r="29" spans="1:13" x14ac:dyDescent="0.2">
      <c r="A29" s="2"/>
      <c r="B29" s="8" t="s">
        <v>21</v>
      </c>
      <c r="C29" s="9">
        <f>21828+18645+17646+14942</f>
        <v>73061</v>
      </c>
      <c r="D29" s="11">
        <f>C29/$C$37</f>
        <v>0.77782391142340035</v>
      </c>
      <c r="E29" s="9">
        <f>22229+4136+18047+4187</f>
        <v>48599</v>
      </c>
      <c r="F29" s="11">
        <f>E29/$E$37</f>
        <v>0.40536663080015684</v>
      </c>
      <c r="G29" s="9">
        <f>15143+3639+16448+4927</f>
        <v>40157</v>
      </c>
      <c r="H29" s="11">
        <f>G29/$G$37</f>
        <v>0.22394418822532164</v>
      </c>
      <c r="I29" s="9">
        <f>11899+5175+14879+6039</f>
        <v>37992</v>
      </c>
      <c r="J29" s="12">
        <f>I29/$I$37</f>
        <v>0.11952243877117644</v>
      </c>
      <c r="M29" s="3" t="s">
        <v>20</v>
      </c>
    </row>
    <row r="30" spans="1:13" x14ac:dyDescent="0.2">
      <c r="A30" s="2"/>
      <c r="B30" s="8" t="s">
        <v>22</v>
      </c>
      <c r="C30" s="9">
        <f>5475+6125</f>
        <v>11600</v>
      </c>
      <c r="D30" s="11">
        <f t="shared" ref="D30:D35" si="0">C30/$C$37</f>
        <v>0.12349622058980092</v>
      </c>
      <c r="E30" s="9">
        <f>21199+27369</f>
        <v>48568</v>
      </c>
      <c r="F30" s="11">
        <f t="shared" ref="F30:F35" si="1">E30/$E$37</f>
        <v>0.40510805828724905</v>
      </c>
      <c r="G30" s="9">
        <f>56331+51328</f>
        <v>107659</v>
      </c>
      <c r="H30" s="11">
        <f t="shared" ref="H30:H35" si="2">G30/$G$37</f>
        <v>0.60038367806733328</v>
      </c>
      <c r="I30" s="9">
        <f>118982+115546</f>
        <v>234528</v>
      </c>
      <c r="J30" s="12">
        <f t="shared" ref="J30:J35" si="3">I30/$I$37</f>
        <v>0.7378226605634467</v>
      </c>
      <c r="M30" s="3" t="s">
        <v>44</v>
      </c>
    </row>
    <row r="31" spans="1:13" x14ac:dyDescent="0.2">
      <c r="A31" s="2"/>
      <c r="B31" s="8" t="s">
        <v>33</v>
      </c>
      <c r="C31" s="9">
        <f>3575+3156</f>
        <v>6731</v>
      </c>
      <c r="D31" s="11">
        <f t="shared" si="0"/>
        <v>7.1659746619823272E-2</v>
      </c>
      <c r="E31" s="9">
        <f>8308+7820</f>
        <v>16128</v>
      </c>
      <c r="F31" s="11">
        <f t="shared" si="1"/>
        <v>0.13452443510246978</v>
      </c>
      <c r="G31" s="9">
        <f>9030+12436</f>
        <v>21466</v>
      </c>
      <c r="H31" s="11">
        <f t="shared" si="2"/>
        <v>0.11970978769441827</v>
      </c>
      <c r="I31" s="9">
        <f>5770+6449</f>
        <v>12219</v>
      </c>
      <c r="J31" s="12">
        <f t="shared" si="3"/>
        <v>3.8440847529611626E-2</v>
      </c>
      <c r="M31" s="3" t="s">
        <v>0</v>
      </c>
    </row>
    <row r="32" spans="1:13" x14ac:dyDescent="0.2">
      <c r="A32" s="2"/>
      <c r="B32" s="8" t="s">
        <v>23</v>
      </c>
      <c r="C32" s="9">
        <f>291+359</f>
        <v>650</v>
      </c>
      <c r="D32" s="11">
        <f t="shared" si="0"/>
        <v>6.920046843394017E-3</v>
      </c>
      <c r="E32" s="9">
        <f>677+629</f>
        <v>1306</v>
      </c>
      <c r="F32" s="11">
        <f t="shared" si="1"/>
        <v>1.0893409737340373E-2</v>
      </c>
      <c r="G32" s="9">
        <f>366+284</f>
        <v>650</v>
      </c>
      <c r="H32" s="11">
        <f t="shared" si="2"/>
        <v>3.6248654617242089E-3</v>
      </c>
      <c r="I32" s="9">
        <f>309+671</f>
        <v>980</v>
      </c>
      <c r="J32" s="12">
        <f t="shared" si="3"/>
        <v>3.0830698567001717E-3</v>
      </c>
      <c r="M32" s="3" t="s">
        <v>1</v>
      </c>
    </row>
    <row r="33" spans="1:13" x14ac:dyDescent="0.2">
      <c r="A33" s="2"/>
      <c r="B33" s="8" t="s">
        <v>24</v>
      </c>
      <c r="C33" s="9">
        <f>729+1754</f>
        <v>2483</v>
      </c>
      <c r="D33" s="11">
        <f t="shared" si="0"/>
        <v>2.6434578941765145E-2</v>
      </c>
      <c r="E33" s="9">
        <f>1676+2990</f>
        <v>4666</v>
      </c>
      <c r="F33" s="11">
        <f t="shared" si="1"/>
        <v>3.8919333717021581E-2</v>
      </c>
      <c r="G33" s="9">
        <f>2825+3308</f>
        <v>6133</v>
      </c>
      <c r="H33" s="11">
        <f t="shared" si="2"/>
        <v>3.4201999810391653E-2</v>
      </c>
      <c r="I33" s="9">
        <f>15330+12315</f>
        <v>27645</v>
      </c>
      <c r="J33" s="12">
        <f t="shared" si="3"/>
        <v>8.6970883865792076E-2</v>
      </c>
      <c r="M33" s="3" t="s">
        <v>2</v>
      </c>
    </row>
    <row r="34" spans="1:13" x14ac:dyDescent="0.2">
      <c r="A34" s="2"/>
      <c r="B34" s="8" t="s">
        <v>3</v>
      </c>
      <c r="C34" s="9">
        <f>8057+5829</f>
        <v>13886</v>
      </c>
      <c r="D34" s="11">
        <f t="shared" si="0"/>
        <v>0.14783349302672202</v>
      </c>
      <c r="E34" s="9">
        <f>2646+3133</f>
        <v>5779</v>
      </c>
      <c r="F34" s="11">
        <f t="shared" si="1"/>
        <v>4.8202921035290974E-2</v>
      </c>
      <c r="G34" s="9">
        <f>1898+2221</f>
        <v>4119</v>
      </c>
      <c r="H34" s="11">
        <f t="shared" si="2"/>
        <v>2.2970493595141566E-2</v>
      </c>
      <c r="I34" s="9">
        <f>1907+1160</f>
        <v>3067</v>
      </c>
      <c r="J34" s="12">
        <f t="shared" si="3"/>
        <v>9.6487502556116597E-3</v>
      </c>
      <c r="M34" s="3" t="s">
        <v>4</v>
      </c>
    </row>
    <row r="35" spans="1:13" x14ac:dyDescent="0.2">
      <c r="B35" s="8" t="s">
        <v>25</v>
      </c>
      <c r="C35" s="9">
        <f>638+637</f>
        <v>1275</v>
      </c>
      <c r="D35" s="11">
        <f t="shared" si="0"/>
        <v>1.3573938038965188E-2</v>
      </c>
      <c r="E35" s="9">
        <f>2366+840</f>
        <v>3206</v>
      </c>
      <c r="F35" s="11">
        <f t="shared" si="1"/>
        <v>2.6741402463945817E-2</v>
      </c>
      <c r="G35" s="9">
        <f>1857+2777</f>
        <v>4634</v>
      </c>
      <c r="H35" s="11">
        <f t="shared" si="2"/>
        <v>2.5842502384046132E-2</v>
      </c>
      <c r="I35" s="9">
        <f>8532+4278</f>
        <v>12810</v>
      </c>
      <c r="J35" s="12">
        <f t="shared" si="3"/>
        <v>4.0300127412580815E-2</v>
      </c>
      <c r="M35" s="3" t="s">
        <v>5</v>
      </c>
    </row>
    <row r="37" spans="1:13" x14ac:dyDescent="0.2">
      <c r="B37" s="8" t="s">
        <v>16</v>
      </c>
      <c r="C37" s="3">
        <f>10638+8243+18819+9403+15329+9263+13216+9019</f>
        <v>93930</v>
      </c>
      <c r="E37" s="3">
        <f>99917+19972</f>
        <v>119889</v>
      </c>
      <c r="G37" s="3">
        <f>32104+108931+38282</f>
        <v>179317</v>
      </c>
      <c r="I37" s="3">
        <f>206925+78500+18458+13982</f>
        <v>317865</v>
      </c>
    </row>
    <row r="42" spans="1:13" ht="22.5" x14ac:dyDescent="0.2">
      <c r="B42" s="5"/>
      <c r="C42" s="6" t="s">
        <v>6</v>
      </c>
      <c r="D42" s="6" t="s">
        <v>7</v>
      </c>
    </row>
    <row r="43" spans="1:13" x14ac:dyDescent="0.2">
      <c r="B43" s="8" t="s">
        <v>21</v>
      </c>
      <c r="C43" s="9">
        <f>20144+18502+28689+19055+10267+4007+1557+473+17434+16396+26216+18011+10946+4896+2229+987</f>
        <v>199809</v>
      </c>
      <c r="D43" s="11">
        <f>C43/$C$51</f>
        <v>0.2810249212026425</v>
      </c>
    </row>
    <row r="44" spans="1:13" x14ac:dyDescent="0.2">
      <c r="B44" s="8" t="s">
        <v>22</v>
      </c>
      <c r="C44" s="9">
        <f>28037+25993+45505+40054+35348+16927+7531+2592+27253+24112+40621+39159+35940+17946+9875+5462</f>
        <v>402355</v>
      </c>
      <c r="D44" s="11">
        <f t="shared" ref="D44:D49" si="4">C44/$C$51</f>
        <v>0.56589934472666004</v>
      </c>
    </row>
    <row r="45" spans="1:13" x14ac:dyDescent="0.2">
      <c r="B45" s="8" t="s">
        <v>33</v>
      </c>
      <c r="C45" s="9">
        <f>3659+3871+6078+6291+4076+1732+855+121+3484+3676+6806+6658+5007+2451+1163+616</f>
        <v>56544</v>
      </c>
      <c r="D45" s="11">
        <f t="shared" si="4"/>
        <v>7.9527314307574815E-2</v>
      </c>
    </row>
    <row r="46" spans="1:13" x14ac:dyDescent="0.2">
      <c r="B46" s="8" t="s">
        <v>23</v>
      </c>
      <c r="C46" s="9"/>
      <c r="D46" s="11">
        <f t="shared" si="4"/>
        <v>0</v>
      </c>
    </row>
    <row r="47" spans="1:13" x14ac:dyDescent="0.2">
      <c r="B47" s="8" t="s">
        <v>24</v>
      </c>
      <c r="C47" s="9">
        <f>3688+3500+6164+3684+2069+783+604+68+3679+3363+5548+3511+2421+1335+269+241</f>
        <v>40927</v>
      </c>
      <c r="D47" s="11">
        <f t="shared" si="4"/>
        <v>5.7562506944434676E-2</v>
      </c>
    </row>
    <row r="48" spans="1:13" x14ac:dyDescent="0.2">
      <c r="B48" s="8" t="s">
        <v>3</v>
      </c>
      <c r="C48" s="9">
        <f>2745+2573+3027+3238+1643+813+411+58+2224+1511+2388+3185+1676+764+442+153</f>
        <v>26851</v>
      </c>
      <c r="D48" s="11">
        <f t="shared" si="4"/>
        <v>3.7765066434505716E-2</v>
      </c>
    </row>
    <row r="49" spans="1:7" x14ac:dyDescent="0.2">
      <c r="B49" s="8" t="s">
        <v>25</v>
      </c>
      <c r="C49" s="9">
        <f>1950+769+1932+1736+1054+179+34+0+1256+1474+2635+1603+851+678+35+0</f>
        <v>16186</v>
      </c>
      <c r="D49" s="11">
        <f t="shared" si="4"/>
        <v>2.2765087531522458E-2</v>
      </c>
    </row>
    <row r="51" spans="1:7" x14ac:dyDescent="0.2">
      <c r="B51" s="8" t="s">
        <v>16</v>
      </c>
      <c r="C51" s="3">
        <f>210415+168573+138531+60334+47690+50720+24116+10622</f>
        <v>711001</v>
      </c>
      <c r="D51" s="12"/>
    </row>
    <row r="55" spans="1:7" x14ac:dyDescent="0.2">
      <c r="A55" s="1" t="s">
        <v>9</v>
      </c>
      <c r="B55" s="4"/>
      <c r="C55" s="4"/>
      <c r="D55" s="4"/>
      <c r="E55" s="4"/>
      <c r="F55" s="4"/>
      <c r="G55" s="4"/>
    </row>
    <row r="56" spans="1:7" x14ac:dyDescent="0.2">
      <c r="A56" s="4" t="s">
        <v>26</v>
      </c>
      <c r="B56" s="4"/>
      <c r="C56" s="4"/>
      <c r="D56" s="4"/>
      <c r="E56" s="4"/>
      <c r="F56" s="4"/>
      <c r="G56" s="4"/>
    </row>
    <row r="57" spans="1:7" ht="45" x14ac:dyDescent="0.2">
      <c r="A57" s="4"/>
      <c r="B57" s="4"/>
      <c r="C57" s="13" t="s">
        <v>28</v>
      </c>
      <c r="D57" s="13" t="s">
        <v>29</v>
      </c>
      <c r="E57" s="13" t="s">
        <v>30</v>
      </c>
      <c r="F57" s="13" t="s">
        <v>31</v>
      </c>
      <c r="G57" s="4"/>
    </row>
    <row r="58" spans="1:7" x14ac:dyDescent="0.2">
      <c r="A58" s="2"/>
      <c r="B58" s="4" t="s">
        <v>24</v>
      </c>
      <c r="C58" s="9">
        <v>0.45923258636533243</v>
      </c>
      <c r="D58" s="9">
        <v>0.67612297974774749</v>
      </c>
      <c r="E58" s="9">
        <v>0.59417147768437162</v>
      </c>
      <c r="F58" s="9">
        <v>1.5108946514394417</v>
      </c>
    </row>
    <row r="59" spans="1:7" x14ac:dyDescent="0.2">
      <c r="A59" s="2"/>
      <c r="B59" s="4" t="s">
        <v>33</v>
      </c>
      <c r="C59" s="9">
        <v>0.90107087412353148</v>
      </c>
      <c r="D59" s="9">
        <v>1.6915500828079215</v>
      </c>
      <c r="E59" s="9">
        <v>1.5052663193357223</v>
      </c>
      <c r="F59" s="9">
        <v>0.48336660007076604</v>
      </c>
    </row>
    <row r="60" spans="1:7" x14ac:dyDescent="0.2">
      <c r="A60" s="2"/>
      <c r="B60" s="4" t="s">
        <v>21</v>
      </c>
      <c r="C60" s="9">
        <v>2.7678111538817021</v>
      </c>
      <c r="D60" s="9">
        <v>1.4424579466667782</v>
      </c>
      <c r="E60" s="9">
        <v>0.79688373282680913</v>
      </c>
      <c r="F60" s="9">
        <v>0.42530903757460981</v>
      </c>
    </row>
    <row r="61" spans="1:7" x14ac:dyDescent="0.2">
      <c r="A61" s="2"/>
      <c r="B61" s="4" t="s">
        <v>22</v>
      </c>
      <c r="C61" s="9">
        <v>0.21823001164536054</v>
      </c>
      <c r="D61" s="9">
        <v>0.71586592573794872</v>
      </c>
      <c r="E61" s="9">
        <v>1.0609372208362069</v>
      </c>
      <c r="F61" s="9">
        <v>1.3038054690093852</v>
      </c>
    </row>
    <row r="74" spans="1:13" x14ac:dyDescent="0.2">
      <c r="A74" s="1" t="s">
        <v>35</v>
      </c>
      <c r="B74" s="2"/>
      <c r="C74" s="2"/>
      <c r="D74" s="2"/>
      <c r="E74" s="2"/>
      <c r="F74" s="2"/>
    </row>
    <row r="75" spans="1:13" x14ac:dyDescent="0.2">
      <c r="A75" s="4" t="s">
        <v>26</v>
      </c>
      <c r="B75" s="2"/>
      <c r="C75" s="2"/>
      <c r="D75" s="2"/>
      <c r="E75" s="2"/>
      <c r="F75" s="2"/>
    </row>
    <row r="76" spans="1:13" ht="56.25" x14ac:dyDescent="0.2">
      <c r="A76" s="5"/>
      <c r="B76" s="5"/>
      <c r="C76" s="6" t="s">
        <v>11</v>
      </c>
      <c r="D76" s="6" t="s">
        <v>10</v>
      </c>
      <c r="E76" s="6" t="s">
        <v>12</v>
      </c>
      <c r="F76" s="6" t="s">
        <v>13</v>
      </c>
      <c r="G76" s="6" t="s">
        <v>14</v>
      </c>
      <c r="H76" s="6" t="s">
        <v>17</v>
      </c>
      <c r="I76" s="6" t="s">
        <v>18</v>
      </c>
      <c r="J76" s="6" t="s">
        <v>19</v>
      </c>
      <c r="M76" s="3" t="s">
        <v>36</v>
      </c>
    </row>
    <row r="77" spans="1:13" x14ac:dyDescent="0.2">
      <c r="A77" s="2"/>
      <c r="B77" s="8" t="s">
        <v>24</v>
      </c>
      <c r="C77" s="14">
        <f>1204+2673</f>
        <v>3877</v>
      </c>
      <c r="D77" s="11">
        <f>C77/$C$82</f>
        <v>4.3576486456108801E-2</v>
      </c>
      <c r="E77" s="14">
        <f>2563+2964</f>
        <v>5527</v>
      </c>
      <c r="F77" s="11">
        <f>E77/$E$82</f>
        <v>4.3009330231038E-2</v>
      </c>
      <c r="G77" s="14">
        <f>4040+3159</f>
        <v>7199</v>
      </c>
      <c r="H77" s="11">
        <f>G77/$G$82</f>
        <v>3.9205755332995681E-2</v>
      </c>
      <c r="I77" s="14">
        <f>13078+13893</f>
        <v>26971</v>
      </c>
      <c r="J77" s="12">
        <f>I77/$I$82</f>
        <v>7.9175338838511189E-2</v>
      </c>
      <c r="M77" s="3" t="s">
        <v>20</v>
      </c>
    </row>
    <row r="78" spans="1:13" x14ac:dyDescent="0.2">
      <c r="A78" s="2"/>
      <c r="B78" s="8" t="s">
        <v>33</v>
      </c>
      <c r="C78" s="14">
        <f>3035+3396</f>
        <v>6431</v>
      </c>
      <c r="D78" s="11">
        <f>C78/$C$82</f>
        <v>7.2282791952343481E-2</v>
      </c>
      <c r="E78" s="14">
        <f>8175+9023</f>
        <v>17198</v>
      </c>
      <c r="F78" s="11">
        <f>E78/$E$82</f>
        <v>0.1338292855642105</v>
      </c>
      <c r="G78" s="14">
        <f>9833+10271</f>
        <v>20104</v>
      </c>
      <c r="H78" s="11">
        <f>G78/$G$82</f>
        <v>0.10948638772253719</v>
      </c>
      <c r="I78" s="14">
        <f>6517+8198</f>
        <v>14715</v>
      </c>
      <c r="J78" s="12">
        <f>I78/$I$82</f>
        <v>4.3196956397934534E-2</v>
      </c>
      <c r="M78" s="3" t="s">
        <v>44</v>
      </c>
    </row>
    <row r="79" spans="1:13" x14ac:dyDescent="0.2">
      <c r="A79" s="2"/>
      <c r="B79" s="8" t="s">
        <v>21</v>
      </c>
      <c r="C79" s="14">
        <f>34393+33416</f>
        <v>67809</v>
      </c>
      <c r="D79" s="11">
        <f>C79/$C$82</f>
        <v>0.76215578284815111</v>
      </c>
      <c r="E79" s="14">
        <f>31051+21895</f>
        <v>52946</v>
      </c>
      <c r="F79" s="11">
        <f>E79/$E$82</f>
        <v>0.41200868435182519</v>
      </c>
      <c r="G79" s="14">
        <f>20185+24110</f>
        <v>44295</v>
      </c>
      <c r="H79" s="11">
        <f>G79/$G$82</f>
        <v>0.24123057820183966</v>
      </c>
      <c r="I79" s="14">
        <f>22157+22724</f>
        <v>44881</v>
      </c>
      <c r="J79" s="12">
        <f>I79/$I$82</f>
        <v>0.13175145090694526</v>
      </c>
      <c r="M79" s="3" t="s">
        <v>0</v>
      </c>
    </row>
    <row r="80" spans="1:13" x14ac:dyDescent="0.2">
      <c r="A80" s="2"/>
      <c r="B80" s="8" t="s">
        <v>22</v>
      </c>
      <c r="C80" s="14">
        <f>4015+6404</f>
        <v>10419</v>
      </c>
      <c r="D80" s="11">
        <f>C80/$C$82</f>
        <v>0.11710688996290884</v>
      </c>
      <c r="E80" s="14">
        <f>24134+27321</f>
        <v>51455</v>
      </c>
      <c r="F80" s="11">
        <f>E80/$E$82</f>
        <v>0.40040620355311385</v>
      </c>
      <c r="G80" s="14">
        <f>54736+52285</f>
        <v>107021</v>
      </c>
      <c r="H80" s="11">
        <f>G80/$G$82</f>
        <v>0.58283638581643715</v>
      </c>
      <c r="I80" s="14">
        <f>126401+121960</f>
        <v>248361</v>
      </c>
      <c r="J80" s="12">
        <f>I80/$I$82</f>
        <v>0.72908184083910421</v>
      </c>
      <c r="M80" s="3" t="s">
        <v>2</v>
      </c>
    </row>
    <row r="81" spans="2:13" x14ac:dyDescent="0.2">
      <c r="M81" s="3" t="s">
        <v>37</v>
      </c>
    </row>
    <row r="82" spans="2:13" x14ac:dyDescent="0.2">
      <c r="B82" s="8" t="s">
        <v>15</v>
      </c>
      <c r="C82" s="15">
        <f>46056+42914</f>
        <v>88970</v>
      </c>
      <c r="D82" s="15"/>
      <c r="E82" s="15">
        <f>128507</f>
        <v>128507</v>
      </c>
      <c r="F82" s="15"/>
      <c r="G82" s="15">
        <f>143867+39754</f>
        <v>183621</v>
      </c>
      <c r="H82" s="15"/>
      <c r="I82" s="15">
        <f>218168+122481</f>
        <v>340649</v>
      </c>
      <c r="J82" s="15"/>
    </row>
    <row r="87" spans="2:13" ht="45" x14ac:dyDescent="0.2">
      <c r="B87" s="5"/>
      <c r="C87" s="6" t="s">
        <v>6</v>
      </c>
      <c r="D87" s="6" t="s">
        <v>7</v>
      </c>
      <c r="G87" s="7" t="s">
        <v>38</v>
      </c>
      <c r="H87" s="7" t="s">
        <v>39</v>
      </c>
      <c r="I87" s="7" t="s">
        <v>40</v>
      </c>
      <c r="J87" s="7" t="s">
        <v>41</v>
      </c>
    </row>
    <row r="88" spans="2:13" x14ac:dyDescent="0.2">
      <c r="B88" s="8" t="s">
        <v>24</v>
      </c>
      <c r="C88" s="14">
        <f>3899+3350+6173+3780+1949+1277+380+77+3828+3640+6675+3833+2586+1631+496+0</f>
        <v>43574</v>
      </c>
      <c r="D88" s="11">
        <f>C88/$C$93</f>
        <v>5.8745097721999547E-2</v>
      </c>
      <c r="F88" s="8" t="s">
        <v>24</v>
      </c>
      <c r="G88" s="12">
        <v>4.3576486456108801E-2</v>
      </c>
      <c r="H88" s="12">
        <v>4.3009330231038E-2</v>
      </c>
      <c r="I88" s="12">
        <v>3.9205755332995681E-2</v>
      </c>
      <c r="J88" s="12">
        <v>7.9175338838511189E-2</v>
      </c>
    </row>
    <row r="89" spans="2:13" x14ac:dyDescent="0.2">
      <c r="B89" s="8" t="s">
        <v>33</v>
      </c>
      <c r="C89" s="14">
        <f>3986+3619+5866+6647+4585+1835+928+94+3851+3930+6517+6806+5388+2565+1425+406</f>
        <v>58448</v>
      </c>
      <c r="D89" s="11">
        <f>C89/$C$93</f>
        <v>7.8797757186749653E-2</v>
      </c>
      <c r="F89" s="8" t="s">
        <v>33</v>
      </c>
      <c r="G89" s="12">
        <v>7.2282791952343481E-2</v>
      </c>
      <c r="H89" s="12">
        <v>0.1338292855642105</v>
      </c>
      <c r="I89" s="12">
        <v>0.10948638772253719</v>
      </c>
      <c r="J89" s="12">
        <v>4.3196956397934534E-2</v>
      </c>
    </row>
    <row r="90" spans="2:13" x14ac:dyDescent="0.2">
      <c r="B90" s="8" t="s">
        <v>21</v>
      </c>
      <c r="C90" s="14">
        <f>20699+19406+30071+19912+11139+4416+1722+421+18132+17170+27400+18938+11836+5234+2690+745</f>
        <v>209931</v>
      </c>
      <c r="D90" s="11">
        <f>C90/$C$93</f>
        <v>0.28302237825026594</v>
      </c>
      <c r="F90" s="8" t="s">
        <v>21</v>
      </c>
      <c r="G90" s="12">
        <v>0.76215578284815111</v>
      </c>
      <c r="H90" s="12">
        <v>0.41200868435182519</v>
      </c>
      <c r="I90" s="12">
        <v>0.24123057820183966</v>
      </c>
      <c r="J90" s="12">
        <v>0.13175145090694526</v>
      </c>
    </row>
    <row r="91" spans="2:13" x14ac:dyDescent="0.2">
      <c r="B91" s="8" t="s">
        <v>22</v>
      </c>
      <c r="C91" s="14">
        <f>29208+27096+47056+40693+3696+18440+7674+2723+28342+25480+42188+39304+37424+19504+10018+5710</f>
        <v>384556</v>
      </c>
      <c r="D91" s="11">
        <f>C91/$C$93</f>
        <v>0.5184463166012131</v>
      </c>
      <c r="F91" s="8" t="s">
        <v>22</v>
      </c>
      <c r="G91" s="12">
        <v>0.11710688996290884</v>
      </c>
      <c r="H91" s="12">
        <v>0.40040620355311385</v>
      </c>
      <c r="I91" s="12">
        <v>0.58283638581643715</v>
      </c>
      <c r="J91" s="12">
        <v>0.72908184083910421</v>
      </c>
    </row>
    <row r="92" spans="2:13" x14ac:dyDescent="0.2">
      <c r="C92" s="15"/>
    </row>
    <row r="93" spans="2:13" x14ac:dyDescent="0.2">
      <c r="B93" s="8" t="s">
        <v>15</v>
      </c>
      <c r="C93" s="15">
        <f>220139+175567+141433+61633+51867+55353+25526+10229</f>
        <v>741747</v>
      </c>
      <c r="D93" s="12"/>
    </row>
    <row r="99" spans="1:6" x14ac:dyDescent="0.2">
      <c r="A99" s="1" t="s">
        <v>35</v>
      </c>
      <c r="B99" s="4"/>
      <c r="C99" s="4"/>
      <c r="D99" s="4"/>
      <c r="E99" s="4"/>
      <c r="F99" s="4"/>
    </row>
    <row r="100" spans="1:6" x14ac:dyDescent="0.2">
      <c r="A100" s="4" t="s">
        <v>26</v>
      </c>
      <c r="B100" s="4"/>
      <c r="C100" s="4"/>
      <c r="D100" s="4"/>
      <c r="E100" s="4"/>
      <c r="F100" s="4"/>
    </row>
    <row r="101" spans="1:6" ht="45" x14ac:dyDescent="0.2">
      <c r="A101" s="4"/>
      <c r="B101" s="4"/>
      <c r="C101" s="13" t="s">
        <v>28</v>
      </c>
      <c r="D101" s="13" t="s">
        <v>29</v>
      </c>
      <c r="E101" s="13" t="s">
        <v>30</v>
      </c>
      <c r="F101" s="13" t="s">
        <v>31</v>
      </c>
    </row>
    <row r="102" spans="1:6" x14ac:dyDescent="0.2">
      <c r="A102" s="2"/>
      <c r="B102" s="4" t="s">
        <v>24</v>
      </c>
      <c r="C102" s="9">
        <f>G88/$D$88</f>
        <v>0.74178932618899662</v>
      </c>
      <c r="D102" s="9">
        <f>H88/$D$88</f>
        <v>0.73213479760595179</v>
      </c>
      <c r="E102" s="9">
        <f>I88/$D$88</f>
        <v>0.66738769451929014</v>
      </c>
      <c r="F102" s="9">
        <f>J88/$D$88</f>
        <v>1.3477778045956113</v>
      </c>
    </row>
    <row r="103" spans="1:6" x14ac:dyDescent="0.2">
      <c r="A103" s="2"/>
      <c r="B103" s="4" t="s">
        <v>33</v>
      </c>
      <c r="C103" s="9">
        <f>G89/$D$89</f>
        <v>0.91732042297897143</v>
      </c>
      <c r="D103" s="9">
        <f>H89/$D$89</f>
        <v>1.6983895270906868</v>
      </c>
      <c r="E103" s="9">
        <f>I89/$D$89</f>
        <v>1.3894607109572406</v>
      </c>
      <c r="F103" s="9">
        <f>J89/$D$89</f>
        <v>0.54820032879309388</v>
      </c>
    </row>
    <row r="104" spans="1:6" x14ac:dyDescent="0.2">
      <c r="A104" s="2"/>
      <c r="B104" s="4" t="s">
        <v>21</v>
      </c>
      <c r="C104" s="9">
        <f>G90/$D$90</f>
        <v>2.692917032073717</v>
      </c>
      <c r="D104" s="9">
        <f>H90/$D$90</f>
        <v>1.4557459622062168</v>
      </c>
      <c r="E104" s="9">
        <f>I90/$D$90</f>
        <v>0.85233747130952531</v>
      </c>
      <c r="F104" s="9">
        <f>J90/$D$90</f>
        <v>0.46551601933908726</v>
      </c>
    </row>
    <row r="105" spans="1:6" x14ac:dyDescent="0.2">
      <c r="A105" s="2"/>
      <c r="B105" s="4" t="s">
        <v>22</v>
      </c>
      <c r="C105" s="9">
        <f>G91/$D$91</f>
        <v>0.22588045514650074</v>
      </c>
      <c r="D105" s="9">
        <f>H91/$D$91</f>
        <v>0.77231950682582384</v>
      </c>
      <c r="E105" s="9">
        <f>I91/$D$91</f>
        <v>1.1241981419355953</v>
      </c>
      <c r="F105" s="9">
        <f>J91/$D$91</f>
        <v>1.4062822272877891</v>
      </c>
    </row>
    <row r="111" spans="1:6" x14ac:dyDescent="0.2">
      <c r="A111" s="1" t="s">
        <v>42</v>
      </c>
      <c r="B111" s="2"/>
      <c r="C111" s="2"/>
      <c r="D111" s="2"/>
      <c r="E111" s="2"/>
      <c r="F111" s="2"/>
    </row>
    <row r="112" spans="1:6" x14ac:dyDescent="0.2">
      <c r="A112" s="4" t="s">
        <v>26</v>
      </c>
      <c r="B112" s="2"/>
      <c r="C112" s="2"/>
      <c r="D112" s="2"/>
      <c r="E112" s="2"/>
      <c r="F112" s="2"/>
    </row>
    <row r="113" spans="1:13" ht="56.25" x14ac:dyDescent="0.2">
      <c r="A113" s="5"/>
      <c r="B113" s="5"/>
      <c r="C113" s="6" t="s">
        <v>11</v>
      </c>
      <c r="D113" s="6" t="s">
        <v>10</v>
      </c>
      <c r="E113" s="6" t="s">
        <v>12</v>
      </c>
      <c r="F113" s="6" t="s">
        <v>13</v>
      </c>
      <c r="G113" s="6" t="s">
        <v>14</v>
      </c>
      <c r="H113" s="6" t="s">
        <v>17</v>
      </c>
      <c r="I113" s="6" t="s">
        <v>18</v>
      </c>
      <c r="J113" s="6" t="s">
        <v>19</v>
      </c>
      <c r="M113" s="3" t="s">
        <v>36</v>
      </c>
    </row>
    <row r="114" spans="1:13" x14ac:dyDescent="0.2">
      <c r="A114" s="2"/>
      <c r="B114" s="8" t="s">
        <v>24</v>
      </c>
      <c r="C114" s="14">
        <v>3730</v>
      </c>
      <c r="D114" s="11">
        <f>C114/$C$119</f>
        <v>4.2351231364890489E-2</v>
      </c>
      <c r="E114" s="14">
        <v>5479</v>
      </c>
      <c r="F114" s="11">
        <f>E114/$E$119</f>
        <v>4.077000922701432E-2</v>
      </c>
      <c r="G114" s="14">
        <v>5367</v>
      </c>
      <c r="H114" s="11">
        <f>G114/$G$119</f>
        <v>2.7312421121198551E-2</v>
      </c>
      <c r="I114" s="14">
        <v>34705</v>
      </c>
      <c r="J114" s="12">
        <f>I114/$I$119</f>
        <v>9.8722481872669188E-2</v>
      </c>
      <c r="M114" s="3" t="s">
        <v>2</v>
      </c>
    </row>
    <row r="115" spans="1:13" x14ac:dyDescent="0.2">
      <c r="A115" s="2"/>
      <c r="B115" s="8" t="s">
        <v>33</v>
      </c>
      <c r="C115" s="14">
        <v>5227</v>
      </c>
      <c r="D115" s="11">
        <f>C115/$C$119</f>
        <v>5.9348494998467179E-2</v>
      </c>
      <c r="E115" s="14">
        <v>17720</v>
      </c>
      <c r="F115" s="11">
        <f>E115/$E$119</f>
        <v>0.13185701104265263</v>
      </c>
      <c r="G115" s="14">
        <v>23964</v>
      </c>
      <c r="H115" s="11">
        <f>G115/$G$119</f>
        <v>0.12195171599560314</v>
      </c>
      <c r="I115" s="14">
        <v>14928</v>
      </c>
      <c r="J115" s="12">
        <f>I115/$I$119</f>
        <v>4.2464463604529767E-2</v>
      </c>
      <c r="M115" s="3" t="s">
        <v>0</v>
      </c>
    </row>
    <row r="116" spans="1:13" x14ac:dyDescent="0.2">
      <c r="A116" s="2"/>
      <c r="B116" s="8" t="s">
        <v>21</v>
      </c>
      <c r="C116" s="14">
        <v>67230</v>
      </c>
      <c r="D116" s="11">
        <f>C116/$C$119</f>
        <v>0.76334404414519774</v>
      </c>
      <c r="E116" s="14">
        <v>56884</v>
      </c>
      <c r="F116" s="11">
        <f>E116/$E$119</f>
        <v>0.42328184064053337</v>
      </c>
      <c r="G116" s="14">
        <v>48467</v>
      </c>
      <c r="H116" s="11">
        <f>G116/$G$119</f>
        <v>0.24664637869967024</v>
      </c>
      <c r="I116" s="14">
        <v>46481</v>
      </c>
      <c r="J116" s="12">
        <f>I116/$I$119</f>
        <v>0.1322207082530914</v>
      </c>
      <c r="M116" s="3" t="s">
        <v>20</v>
      </c>
    </row>
    <row r="117" spans="1:13" x14ac:dyDescent="0.2">
      <c r="A117" s="2"/>
      <c r="B117" s="8" t="s">
        <v>22</v>
      </c>
      <c r="C117" s="14">
        <v>11470</v>
      </c>
      <c r="D117" s="11">
        <f>C117/$C$119</f>
        <v>0.13023287500141928</v>
      </c>
      <c r="E117" s="14">
        <v>51467</v>
      </c>
      <c r="F117" s="11">
        <f>E117/$E$119</f>
        <v>0.38297318212935677</v>
      </c>
      <c r="G117" s="14">
        <v>116156</v>
      </c>
      <c r="H117" s="11">
        <f>G117/$G$119</f>
        <v>0.59111264910637951</v>
      </c>
      <c r="I117" s="14">
        <v>250568</v>
      </c>
      <c r="J117" s="12">
        <f>I117/$I$119</f>
        <v>0.71277034542201334</v>
      </c>
      <c r="M117" s="3" t="s">
        <v>44</v>
      </c>
    </row>
    <row r="118" spans="1:13" x14ac:dyDescent="0.2">
      <c r="M118" s="3" t="s">
        <v>37</v>
      </c>
    </row>
    <row r="119" spans="1:13" x14ac:dyDescent="0.2">
      <c r="B119" s="8" t="s">
        <v>15</v>
      </c>
      <c r="C119" s="3">
        <v>88073</v>
      </c>
      <c r="E119" s="3">
        <v>134388</v>
      </c>
      <c r="G119" s="3">
        <v>196504</v>
      </c>
      <c r="I119" s="3">
        <v>351541</v>
      </c>
      <c r="J119" s="15"/>
    </row>
    <row r="124" spans="1:13" ht="45" x14ac:dyDescent="0.2">
      <c r="B124" s="5"/>
      <c r="C124" s="6" t="s">
        <v>6</v>
      </c>
      <c r="D124" s="6" t="s">
        <v>7</v>
      </c>
      <c r="G124" s="7" t="s">
        <v>38</v>
      </c>
      <c r="H124" s="7" t="s">
        <v>39</v>
      </c>
      <c r="I124" s="7" t="s">
        <v>40</v>
      </c>
      <c r="J124" s="7" t="s">
        <v>41</v>
      </c>
    </row>
    <row r="125" spans="1:13" x14ac:dyDescent="0.2">
      <c r="B125" s="8" t="s">
        <v>24</v>
      </c>
      <c r="C125" s="14">
        <v>49281</v>
      </c>
      <c r="D125" s="11">
        <f>C125/$C$93</f>
        <v>6.64390958102965E-2</v>
      </c>
      <c r="F125" s="8" t="s">
        <v>24</v>
      </c>
      <c r="G125" s="12">
        <v>4.2351231364890489E-2</v>
      </c>
      <c r="H125" s="12">
        <v>4.077000922701432E-2</v>
      </c>
      <c r="I125" s="12">
        <v>2.7312421121198551E-2</v>
      </c>
      <c r="J125" s="12">
        <v>9.8722481872669188E-2</v>
      </c>
    </row>
    <row r="126" spans="1:13" x14ac:dyDescent="0.2">
      <c r="B126" s="8" t="s">
        <v>33</v>
      </c>
      <c r="C126" s="14">
        <v>61839</v>
      </c>
      <c r="D126" s="11">
        <f>C126/$C$93</f>
        <v>8.3369396842858823E-2</v>
      </c>
      <c r="F126" s="8" t="s">
        <v>33</v>
      </c>
      <c r="G126" s="12">
        <v>5.9348494998467179E-2</v>
      </c>
      <c r="H126" s="12">
        <v>0.13185701104265263</v>
      </c>
      <c r="I126" s="12">
        <v>0.12195171599560314</v>
      </c>
      <c r="J126" s="12">
        <v>4.2464463604529767E-2</v>
      </c>
    </row>
    <row r="127" spans="1:13" x14ac:dyDescent="0.2">
      <c r="B127" s="8" t="s">
        <v>21</v>
      </c>
      <c r="C127" s="14">
        <v>219062</v>
      </c>
      <c r="D127" s="11">
        <f>C127/$C$93</f>
        <v>0.29533250555782498</v>
      </c>
      <c r="F127" s="8" t="s">
        <v>21</v>
      </c>
      <c r="G127" s="12">
        <v>0.76334404414519774</v>
      </c>
      <c r="H127" s="12">
        <v>0.42328184064053337</v>
      </c>
      <c r="I127" s="12">
        <v>0.24664637869967024</v>
      </c>
      <c r="J127" s="12">
        <v>0.1322207082530914</v>
      </c>
    </row>
    <row r="128" spans="1:13" x14ac:dyDescent="0.2">
      <c r="B128" s="8" t="s">
        <v>22</v>
      </c>
      <c r="C128" s="14">
        <v>419661</v>
      </c>
      <c r="D128" s="11">
        <f>C128/$C$93</f>
        <v>0.56577377461587308</v>
      </c>
      <c r="F128" s="8" t="s">
        <v>22</v>
      </c>
      <c r="G128" s="12">
        <v>0.13023287500141928</v>
      </c>
      <c r="H128" s="12">
        <v>0.38297318212935677</v>
      </c>
      <c r="I128" s="12">
        <v>0.59111264910637951</v>
      </c>
      <c r="J128" s="12">
        <v>0.71277034542201334</v>
      </c>
    </row>
    <row r="129" spans="1:6" x14ac:dyDescent="0.2">
      <c r="C129" s="15"/>
    </row>
    <row r="130" spans="1:6" x14ac:dyDescent="0.2">
      <c r="B130" s="8" t="s">
        <v>15</v>
      </c>
      <c r="C130" s="15">
        <v>770506</v>
      </c>
      <c r="D130" s="16"/>
    </row>
    <row r="136" spans="1:6" x14ac:dyDescent="0.2">
      <c r="A136" s="1" t="s">
        <v>42</v>
      </c>
      <c r="B136" s="4"/>
      <c r="C136" s="4"/>
      <c r="D136" s="4"/>
      <c r="E136" s="4"/>
      <c r="F136" s="4"/>
    </row>
    <row r="137" spans="1:6" x14ac:dyDescent="0.2">
      <c r="A137" s="4" t="s">
        <v>26</v>
      </c>
      <c r="B137" s="4"/>
      <c r="C137" s="4"/>
      <c r="D137" s="4"/>
      <c r="E137" s="4"/>
      <c r="F137" s="4"/>
    </row>
    <row r="138" spans="1:6" ht="45" x14ac:dyDescent="0.2">
      <c r="A138" s="4"/>
      <c r="B138" s="4"/>
      <c r="C138" s="13" t="s">
        <v>28</v>
      </c>
      <c r="D138" s="13" t="s">
        <v>29</v>
      </c>
      <c r="E138" s="13" t="s">
        <v>30</v>
      </c>
      <c r="F138" s="13" t="s">
        <v>31</v>
      </c>
    </row>
    <row r="139" spans="1:6" x14ac:dyDescent="0.2">
      <c r="A139" s="2"/>
      <c r="B139" s="4" t="s">
        <v>24</v>
      </c>
      <c r="C139" s="9">
        <f>G125/$D$125</f>
        <v>0.63744442708576177</v>
      </c>
      <c r="D139" s="9">
        <f>H125/$D$125</f>
        <v>0.61364485367809485</v>
      </c>
      <c r="E139" s="9">
        <f>I125/$D$125</f>
        <v>0.41108959699246489</v>
      </c>
      <c r="F139" s="9">
        <f>J125/$D$125</f>
        <v>1.485909473460497</v>
      </c>
    </row>
    <row r="140" spans="1:6" x14ac:dyDescent="0.2">
      <c r="A140" s="2"/>
      <c r="B140" s="4" t="s">
        <v>33</v>
      </c>
      <c r="C140" s="9">
        <f>G126/$D$126</f>
        <v>0.71187386794139673</v>
      </c>
      <c r="D140" s="9">
        <f>H126/$D$126</f>
        <v>1.5815996760920206</v>
      </c>
      <c r="E140" s="9">
        <f>I126/$D$126</f>
        <v>1.4627875529130587</v>
      </c>
      <c r="F140" s="9">
        <f>J126/$D$126</f>
        <v>0.50935313451493625</v>
      </c>
    </row>
    <row r="141" spans="1:6" x14ac:dyDescent="0.2">
      <c r="A141" s="2"/>
      <c r="B141" s="4" t="s">
        <v>21</v>
      </c>
      <c r="C141" s="9">
        <f>G127/$D$127</f>
        <v>2.5846936242368277</v>
      </c>
      <c r="D141" s="9">
        <f>H127/$D$127</f>
        <v>1.4332382405419182</v>
      </c>
      <c r="E141" s="9">
        <f>I127/$D$127</f>
        <v>0.83514809260092715</v>
      </c>
      <c r="F141" s="9">
        <f>J127/$D$127</f>
        <v>0.4477011699181318</v>
      </c>
    </row>
    <row r="142" spans="1:6" x14ac:dyDescent="0.2">
      <c r="A142" s="2"/>
      <c r="B142" s="4" t="s">
        <v>22</v>
      </c>
      <c r="C142" s="9">
        <f>G128/$D$128</f>
        <v>0.23018542188499228</v>
      </c>
      <c r="D142" s="9">
        <f>H128/$D$128</f>
        <v>0.67690161564906914</v>
      </c>
      <c r="E142" s="9">
        <f>I128/$D$128</f>
        <v>1.044786230163655</v>
      </c>
      <c r="F142" s="9">
        <f>J128/$D$128</f>
        <v>1.2598151017267321</v>
      </c>
    </row>
    <row r="148" spans="1:15" x14ac:dyDescent="0.2">
      <c r="A148" s="1" t="s">
        <v>43</v>
      </c>
      <c r="B148" s="2"/>
      <c r="C148" s="2"/>
      <c r="D148" s="2"/>
      <c r="E148" s="2"/>
      <c r="F148" s="2"/>
    </row>
    <row r="149" spans="1:15" x14ac:dyDescent="0.2">
      <c r="A149" s="4" t="s">
        <v>26</v>
      </c>
      <c r="B149" s="2"/>
      <c r="C149" s="2"/>
      <c r="D149" s="2"/>
      <c r="E149" s="2"/>
      <c r="F149" s="2"/>
    </row>
    <row r="150" spans="1:15" ht="56.25" x14ac:dyDescent="0.2">
      <c r="A150" s="5"/>
      <c r="B150" s="5"/>
      <c r="C150" s="6" t="s">
        <v>11</v>
      </c>
      <c r="D150" s="6" t="s">
        <v>10</v>
      </c>
      <c r="E150" s="6" t="s">
        <v>12</v>
      </c>
      <c r="F150" s="6" t="s">
        <v>13</v>
      </c>
      <c r="G150" s="6" t="s">
        <v>14</v>
      </c>
      <c r="H150" s="6" t="s">
        <v>17</v>
      </c>
      <c r="I150" s="6" t="s">
        <v>18</v>
      </c>
      <c r="J150" s="6" t="s">
        <v>19</v>
      </c>
      <c r="M150" s="18" t="s">
        <v>51</v>
      </c>
    </row>
    <row r="151" spans="1:15" x14ac:dyDescent="0.2">
      <c r="A151" s="2"/>
      <c r="B151" s="8" t="s">
        <v>24</v>
      </c>
      <c r="C151" s="14">
        <f>1895+2744</f>
        <v>4639</v>
      </c>
      <c r="D151" s="11">
        <f>C151/C156</f>
        <v>5.0077723563193573E-2</v>
      </c>
      <c r="E151" s="14">
        <f>1281+2761</f>
        <v>4042</v>
      </c>
      <c r="F151" s="11">
        <f>E151/E156</f>
        <v>2.9116212731319736E-2</v>
      </c>
      <c r="G151" s="14">
        <f>2943+3139</f>
        <v>6082</v>
      </c>
      <c r="H151" s="11">
        <f>G151/G156</f>
        <v>3.2227468061318029E-2</v>
      </c>
      <c r="I151" s="14">
        <f>19629+17567</f>
        <v>37196</v>
      </c>
      <c r="J151" s="12">
        <f>I151/I156</f>
        <v>9.9209175168367011E-2</v>
      </c>
      <c r="M151" s="3" t="s">
        <v>50</v>
      </c>
      <c r="N151" s="3" t="s">
        <v>54</v>
      </c>
    </row>
    <row r="152" spans="1:15" x14ac:dyDescent="0.2">
      <c r="A152" s="2"/>
      <c r="B152" s="8" t="s">
        <v>33</v>
      </c>
      <c r="C152" s="14">
        <v>6322</v>
      </c>
      <c r="D152" s="11">
        <f>C152/C156</f>
        <v>6.8245606459691702E-2</v>
      </c>
      <c r="E152" s="14">
        <v>17189</v>
      </c>
      <c r="F152" s="11">
        <f>E152/E156</f>
        <v>0.12381953998977115</v>
      </c>
      <c r="G152" s="14">
        <v>24504</v>
      </c>
      <c r="H152" s="11">
        <f>G152/G156</f>
        <v>0.12984246586230466</v>
      </c>
      <c r="I152" s="14">
        <v>16945</v>
      </c>
      <c r="J152" s="12">
        <f>I152/I156</f>
        <v>4.5195705807828231E-2</v>
      </c>
      <c r="M152" s="3" t="s">
        <v>53</v>
      </c>
      <c r="N152" s="3" t="s">
        <v>54</v>
      </c>
    </row>
    <row r="153" spans="1:15" x14ac:dyDescent="0.2">
      <c r="A153" s="2"/>
      <c r="B153" s="8" t="s">
        <v>21</v>
      </c>
      <c r="C153" s="14">
        <v>69843</v>
      </c>
      <c r="D153" s="11">
        <f>C153/C156</f>
        <v>0.7539509477956734</v>
      </c>
      <c r="E153" s="14">
        <v>66559</v>
      </c>
      <c r="F153" s="11">
        <f>E153/E156</f>
        <v>0.47945225214841919</v>
      </c>
      <c r="G153" s="14">
        <v>45077</v>
      </c>
      <c r="H153" s="11">
        <f>G153/G156</f>
        <v>0.23885524133509253</v>
      </c>
      <c r="I153" s="14">
        <v>45446</v>
      </c>
      <c r="J153" s="12">
        <f>I153/I156</f>
        <v>0.12121357604854305</v>
      </c>
      <c r="M153" s="3" t="s">
        <v>46</v>
      </c>
      <c r="N153" s="3" t="s">
        <v>54</v>
      </c>
    </row>
    <row r="154" spans="1:15" x14ac:dyDescent="0.2">
      <c r="A154" s="2"/>
      <c r="B154" s="8" t="s">
        <v>22</v>
      </c>
      <c r="C154" s="14">
        <f>6324+4846</f>
        <v>11170</v>
      </c>
      <c r="D154" s="11">
        <f>C154/C156</f>
        <v>0.12057947234336543</v>
      </c>
      <c r="E154" s="14">
        <f>25501+25524</f>
        <v>51025</v>
      </c>
      <c r="F154" s="11">
        <f>E154/E156</f>
        <v>0.36755436779208056</v>
      </c>
      <c r="G154" s="14">
        <f>56133+53098</f>
        <v>109231</v>
      </c>
      <c r="H154" s="11">
        <f>G154/G156</f>
        <v>0.57879621239819623</v>
      </c>
      <c r="I154" s="14">
        <f>132599+136859</f>
        <v>269458</v>
      </c>
      <c r="J154" s="12">
        <f>I154/I156</f>
        <v>0.71869840634793625</v>
      </c>
      <c r="M154" s="3" t="s">
        <v>44</v>
      </c>
      <c r="N154" s="3" t="s">
        <v>54</v>
      </c>
    </row>
    <row r="156" spans="1:15" x14ac:dyDescent="0.2">
      <c r="B156" s="8" t="s">
        <v>15</v>
      </c>
      <c r="C156" s="3">
        <v>92636</v>
      </c>
      <c r="E156" s="3">
        <v>138823</v>
      </c>
      <c r="G156" s="3">
        <v>188721</v>
      </c>
      <c r="I156" s="3">
        <v>374925</v>
      </c>
      <c r="J156" s="15"/>
      <c r="M156" s="3" t="s">
        <v>55</v>
      </c>
      <c r="O156" s="3" t="s">
        <v>54</v>
      </c>
    </row>
    <row r="161" spans="1:15" ht="45" x14ac:dyDescent="0.2">
      <c r="B161" s="5"/>
      <c r="C161" s="6" t="s">
        <v>6</v>
      </c>
      <c r="D161" s="6" t="s">
        <v>7</v>
      </c>
      <c r="G161" s="7" t="s">
        <v>38</v>
      </c>
      <c r="H161" s="7" t="s">
        <v>39</v>
      </c>
      <c r="I161" s="7" t="s">
        <v>40</v>
      </c>
      <c r="J161" s="7" t="s">
        <v>41</v>
      </c>
      <c r="M161" s="18" t="s">
        <v>51</v>
      </c>
    </row>
    <row r="162" spans="1:15" x14ac:dyDescent="0.2">
      <c r="B162" s="8" t="s">
        <v>24</v>
      </c>
      <c r="C162" s="14">
        <f>51959</f>
        <v>51959</v>
      </c>
      <c r="D162" s="11">
        <f>C162/C167</f>
        <v>6.5348601757000649E-2</v>
      </c>
      <c r="F162" s="8" t="s">
        <v>24</v>
      </c>
      <c r="G162" s="12">
        <v>5.2672215094296773E-2</v>
      </c>
      <c r="H162" s="12">
        <v>3.0077090216388366E-2</v>
      </c>
      <c r="I162" s="12">
        <v>3.0951023897732362E-2</v>
      </c>
      <c r="J162" s="12">
        <v>0.10580842632865015</v>
      </c>
      <c r="M162" s="3" t="s">
        <v>52</v>
      </c>
      <c r="N162" s="3" t="s">
        <v>54</v>
      </c>
    </row>
    <row r="163" spans="1:15" x14ac:dyDescent="0.2">
      <c r="B163" s="8" t="s">
        <v>33</v>
      </c>
      <c r="C163" s="14">
        <v>64960</v>
      </c>
      <c r="D163" s="11">
        <f>C163/C167</f>
        <v>8.1699901270901321E-2</v>
      </c>
      <c r="F163" s="8" t="s">
        <v>33</v>
      </c>
      <c r="G163" s="12">
        <v>7.1781363187355937E-2</v>
      </c>
      <c r="H163" s="12">
        <v>0.12790576539571985</v>
      </c>
      <c r="I163" s="12">
        <v>0.12469975165899931</v>
      </c>
      <c r="J163" s="12">
        <v>4.8202058934804191E-2</v>
      </c>
      <c r="M163" s="3" t="s">
        <v>47</v>
      </c>
      <c r="N163" s="3" t="s">
        <v>54</v>
      </c>
    </row>
    <row r="164" spans="1:15" x14ac:dyDescent="0.2">
      <c r="B164" s="8" t="s">
        <v>21</v>
      </c>
      <c r="C164" s="14">
        <v>226925</v>
      </c>
      <c r="D164" s="11">
        <f>C164/C167</f>
        <v>0.28540255689500127</v>
      </c>
      <c r="F164" s="8" t="s">
        <v>21</v>
      </c>
      <c r="G164" s="12">
        <v>0.79301261453566929</v>
      </c>
      <c r="H164" s="12">
        <v>0.49527487573295237</v>
      </c>
      <c r="I164" s="12">
        <v>0.22939482147946097</v>
      </c>
      <c r="J164" s="12">
        <v>0.12927652820012459</v>
      </c>
      <c r="M164" s="3" t="s">
        <v>48</v>
      </c>
      <c r="N164" s="3" t="s">
        <v>54</v>
      </c>
    </row>
    <row r="165" spans="1:15" x14ac:dyDescent="0.2">
      <c r="B165" s="8" t="s">
        <v>22</v>
      </c>
      <c r="C165" s="14">
        <v>440784</v>
      </c>
      <c r="D165" s="11">
        <f>C165/C167</f>
        <v>0.55437206406701001</v>
      </c>
      <c r="F165" s="8" t="s">
        <v>22</v>
      </c>
      <c r="G165" s="12">
        <v>0.12682660974418947</v>
      </c>
      <c r="H165" s="12">
        <v>0.37968419799386849</v>
      </c>
      <c r="I165" s="12">
        <v>0.55587163620078983</v>
      </c>
      <c r="J165" s="12">
        <v>0.76650518716166816</v>
      </c>
      <c r="M165" s="3" t="s">
        <v>49</v>
      </c>
      <c r="N165" s="3" t="s">
        <v>54</v>
      </c>
    </row>
    <row r="166" spans="1:15" x14ac:dyDescent="0.2">
      <c r="C166" s="15"/>
    </row>
    <row r="167" spans="1:15" x14ac:dyDescent="0.2">
      <c r="B167" s="8" t="s">
        <v>15</v>
      </c>
      <c r="C167" s="15">
        <v>795105</v>
      </c>
      <c r="D167" s="12"/>
      <c r="M167" s="3" t="s">
        <v>45</v>
      </c>
      <c r="O167" s="3" t="s">
        <v>54</v>
      </c>
    </row>
    <row r="173" spans="1:15" x14ac:dyDescent="0.2">
      <c r="A173" s="1" t="s">
        <v>43</v>
      </c>
      <c r="B173" s="4"/>
      <c r="C173" s="4"/>
      <c r="D173" s="4"/>
      <c r="E173" s="4"/>
      <c r="F173" s="4"/>
    </row>
    <row r="174" spans="1:15" x14ac:dyDescent="0.2">
      <c r="A174" s="4" t="s">
        <v>26</v>
      </c>
      <c r="B174" s="4"/>
      <c r="C174" s="4"/>
      <c r="D174" s="4"/>
      <c r="E174" s="4"/>
      <c r="F174" s="4"/>
    </row>
    <row r="175" spans="1:15" ht="45" x14ac:dyDescent="0.2">
      <c r="A175" s="4"/>
      <c r="B175" s="4"/>
      <c r="C175" s="13" t="s">
        <v>28</v>
      </c>
      <c r="D175" s="13" t="s">
        <v>29</v>
      </c>
      <c r="E175" s="13" t="s">
        <v>30</v>
      </c>
      <c r="F175" s="13" t="s">
        <v>31</v>
      </c>
      <c r="L175" s="6" t="s">
        <v>19</v>
      </c>
    </row>
    <row r="176" spans="1:15" x14ac:dyDescent="0.2">
      <c r="A176" s="2"/>
      <c r="B176" s="8" t="s">
        <v>24</v>
      </c>
      <c r="C176" s="9">
        <f>G162/D162</f>
        <v>0.80601900695838713</v>
      </c>
      <c r="D176" s="9">
        <f>H162/D162</f>
        <v>0.46025606375221756</v>
      </c>
      <c r="E176" s="9">
        <f>I162/D162</f>
        <v>0.47362947432026192</v>
      </c>
      <c r="F176" s="9">
        <f>J162/D162</f>
        <v>1.6191383363044203</v>
      </c>
      <c r="K176" s="8" t="s">
        <v>24</v>
      </c>
      <c r="L176" s="17">
        <f>I151/C162</f>
        <v>0.71587212994861338</v>
      </c>
    </row>
    <row r="177" spans="1:12" x14ac:dyDescent="0.2">
      <c r="A177" s="2"/>
      <c r="B177" s="4" t="s">
        <v>33</v>
      </c>
      <c r="C177" s="9">
        <f>G163/D163</f>
        <v>0.87859791836642009</v>
      </c>
      <c r="D177" s="9">
        <f>H163/D163</f>
        <v>1.565555935883064</v>
      </c>
      <c r="E177" s="9">
        <f>I163/D163</f>
        <v>1.5263145942553673</v>
      </c>
      <c r="F177" s="9">
        <f>J163/D163</f>
        <v>0.58998919441744901</v>
      </c>
      <c r="K177" s="8" t="s">
        <v>33</v>
      </c>
      <c r="L177" s="17">
        <f>I152/C163</f>
        <v>0.26085283251231528</v>
      </c>
    </row>
    <row r="178" spans="1:12" x14ac:dyDescent="0.2">
      <c r="A178" s="2"/>
      <c r="B178" s="4" t="s">
        <v>21</v>
      </c>
      <c r="C178" s="9">
        <f>G164/D164</f>
        <v>2.7785757183227204</v>
      </c>
      <c r="D178" s="9">
        <f>H164/D164</f>
        <v>1.7353554261084019</v>
      </c>
      <c r="E178" s="9">
        <f>I164/D164</f>
        <v>0.80375881693258489</v>
      </c>
      <c r="F178" s="9">
        <f>J164/D164</f>
        <v>0.45296205334167705</v>
      </c>
      <c r="K178" s="8" t="s">
        <v>21</v>
      </c>
      <c r="L178" s="17">
        <f>I153/C164</f>
        <v>0.20026881128126034</v>
      </c>
    </row>
    <row r="179" spans="1:12" x14ac:dyDescent="0.2">
      <c r="A179" s="2"/>
      <c r="B179" s="4" t="s">
        <v>22</v>
      </c>
      <c r="C179" s="9">
        <f>G165/D165</f>
        <v>0.22877525395806964</v>
      </c>
      <c r="D179" s="9">
        <f>H165/D165</f>
        <v>0.68489056827360972</v>
      </c>
      <c r="E179" s="9">
        <f>I165/D165</f>
        <v>1.0027049922443396</v>
      </c>
      <c r="F179" s="9">
        <f>J165/D165</f>
        <v>1.3826547851967816</v>
      </c>
      <c r="K179" s="8" t="s">
        <v>22</v>
      </c>
      <c r="L179" s="17">
        <f>I154/C165</f>
        <v>0.61131529275109808</v>
      </c>
    </row>
  </sheetData>
  <phoneticPr fontId="3" type="noConversion"/>
  <pageMargins left="0.7" right="0.7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Educational Attainment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2013-02-06T15:10:20Z</dcterms:created>
  <dcterms:modified xsi:type="dcterms:W3CDTF">2017-04-26T16:31:10Z</dcterms:modified>
</cp:coreProperties>
</file>