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shboards\2017 Dashboard Drilldowns\Unemployment\For Web Developer\"/>
    </mc:Choice>
  </mc:AlternateContent>
  <bookViews>
    <workbookView xWindow="0" yWindow="0" windowWidth="20490" windowHeight="7755"/>
  </bookViews>
  <sheets>
    <sheet name="Sheet1" sheetId="1" r:id="rId1"/>
    <sheet name="MOE" sheetId="4" r:id="rId2"/>
    <sheet name="Disproportionality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L5" i="4" l="1"/>
  <c r="L8" i="4"/>
  <c r="I5" i="4"/>
  <c r="I6" i="4"/>
  <c r="I8" i="4"/>
  <c r="I9" i="4"/>
  <c r="L12" i="4" l="1"/>
  <c r="I12" i="4"/>
  <c r="J12" i="4" s="1"/>
  <c r="L11" i="4"/>
  <c r="I11" i="4"/>
  <c r="J11" i="4" s="1"/>
  <c r="L15" i="4"/>
  <c r="L14" i="4"/>
  <c r="I15" i="4"/>
  <c r="J15" i="4"/>
  <c r="I14" i="4"/>
  <c r="J14" i="4" s="1"/>
  <c r="L6" i="4"/>
  <c r="J6" i="4"/>
  <c r="J5" i="4"/>
  <c r="M5" i="4" s="1"/>
  <c r="L9" i="4"/>
  <c r="J9" i="4"/>
  <c r="J8" i="4"/>
  <c r="D5" i="1"/>
  <c r="E5" i="1"/>
  <c r="F5" i="1"/>
  <c r="G5" i="1"/>
  <c r="D6" i="1"/>
  <c r="E6" i="1"/>
  <c r="F6" i="1"/>
  <c r="G6" i="1"/>
  <c r="D8" i="1"/>
  <c r="E8" i="1"/>
  <c r="F8" i="1"/>
  <c r="G8" i="1"/>
  <c r="D9" i="1"/>
  <c r="E9" i="1"/>
  <c r="F9" i="1"/>
  <c r="G9" i="1"/>
  <c r="D11" i="1"/>
  <c r="E11" i="1"/>
  <c r="F11" i="1"/>
  <c r="G11" i="1"/>
  <c r="D12" i="1"/>
  <c r="E12" i="1"/>
  <c r="F12" i="1"/>
  <c r="G12" i="1"/>
  <c r="D14" i="1"/>
  <c r="E14" i="1"/>
  <c r="F14" i="1"/>
  <c r="G14" i="1"/>
  <c r="D15" i="1"/>
  <c r="E15" i="1"/>
  <c r="F15" i="1"/>
  <c r="G15" i="1"/>
  <c r="E5" i="4"/>
  <c r="F5" i="4"/>
  <c r="G5" i="4"/>
  <c r="E6" i="4"/>
  <c r="F6" i="4"/>
  <c r="G6" i="4"/>
  <c r="E8" i="4"/>
  <c r="F8" i="4"/>
  <c r="G8" i="4"/>
  <c r="E9" i="4"/>
  <c r="F9" i="4"/>
  <c r="G9" i="4"/>
  <c r="E11" i="4"/>
  <c r="F11" i="4"/>
  <c r="G11" i="4"/>
  <c r="E12" i="4"/>
  <c r="F12" i="4"/>
  <c r="G12" i="4"/>
  <c r="E14" i="4"/>
  <c r="F14" i="4"/>
  <c r="G14" i="4"/>
  <c r="E15" i="4"/>
  <c r="F15" i="4"/>
  <c r="G15" i="4"/>
  <c r="G8" i="2"/>
  <c r="G9" i="2"/>
  <c r="G26" i="2"/>
  <c r="M8" i="4"/>
  <c r="N8" i="4" s="1"/>
  <c r="O8" i="4" s="1"/>
  <c r="N5" i="4" l="1"/>
  <c r="O5" i="4" s="1"/>
  <c r="Q5" i="4"/>
  <c r="P5" i="4"/>
  <c r="Q8" i="4"/>
  <c r="M6" i="4"/>
  <c r="N6" i="4" s="1"/>
  <c r="O6" i="4" s="1"/>
  <c r="M9" i="4"/>
  <c r="N9" i="4" s="1"/>
  <c r="O9" i="4" s="1"/>
  <c r="P8" i="4"/>
  <c r="Q6" i="4"/>
  <c r="P6" i="4"/>
  <c r="M12" i="4"/>
  <c r="N12" i="4" s="1"/>
  <c r="O12" i="4" s="1"/>
  <c r="M11" i="4"/>
  <c r="N11" i="4" s="1"/>
  <c r="O11" i="4" s="1"/>
  <c r="M15" i="4"/>
  <c r="N15" i="4" s="1"/>
  <c r="O15" i="4" s="1"/>
  <c r="M14" i="4"/>
  <c r="N14" i="4" s="1"/>
  <c r="O14" i="4" s="1"/>
  <c r="P12" i="4" l="1"/>
  <c r="P9" i="4"/>
  <c r="Q9" i="4"/>
  <c r="Q12" i="4"/>
  <c r="P11" i="4"/>
  <c r="Q11" i="4"/>
  <c r="P15" i="4"/>
  <c r="Q15" i="4"/>
  <c r="P14" i="4"/>
  <c r="Q14" i="4"/>
</calcChain>
</file>

<file path=xl/sharedStrings.xml><?xml version="1.0" encoding="utf-8"?>
<sst xmlns="http://schemas.openxmlformats.org/spreadsheetml/2006/main" count="72" uniqueCount="28">
  <si>
    <t>City of Austin</t>
  </si>
  <si>
    <t>Travis County</t>
  </si>
  <si>
    <t>Austin-Round Rock MSA</t>
  </si>
  <si>
    <t>Texas</t>
  </si>
  <si>
    <t>USA</t>
  </si>
  <si>
    <t>Data Source</t>
  </si>
  <si>
    <t>% Unemployed by Disability Status</t>
  </si>
  <si>
    <t>With a Disability</t>
  </si>
  <si>
    <t>No Disability</t>
  </si>
  <si>
    <t>All civilians 16 years old and over are classified as unemployed if they (1) were neither "at work" nor "with a job but not at work" during the reference week, and (2) were actively looking for work during the last 4 weeks, and (3) were available to accept a job. Also included as unemployed are civilians who did not work at all during the reference week, were waiting to be called back to a job from which they had been laid off, and were available for work except for temporary illness.</t>
  </si>
  <si>
    <t>American Community Survey, 1 Year Estimates - Detailed Tables</t>
  </si>
  <si>
    <t>% of unemployed with a disability</t>
  </si>
  <si>
    <t>% of unemployed without a disability</t>
  </si>
  <si>
    <t>% of the population with a disability</t>
  </si>
  <si>
    <t>% of the population with no disability</t>
  </si>
  <si>
    <t>B18120 - Employment Status by Disability Status and Type</t>
    <phoneticPr fontId="7" type="noConversion"/>
  </si>
  <si>
    <t>Num MOE</t>
    <phoneticPr fontId="7" type="noConversion"/>
  </si>
  <si>
    <t>Denom MOE</t>
    <phoneticPr fontId="7" type="noConversion"/>
  </si>
  <si>
    <t>MOE Total</t>
    <phoneticPr fontId="7" type="noConversion"/>
  </si>
  <si>
    <t>SE</t>
    <phoneticPr fontId="7" type="noConversion"/>
  </si>
  <si>
    <t>CV</t>
    <phoneticPr fontId="7" type="noConversion"/>
  </si>
  <si>
    <t>Upper Estimate</t>
    <phoneticPr fontId="7" type="noConversion"/>
  </si>
  <si>
    <t>Lower Estimate</t>
    <phoneticPr fontId="7" type="noConversion"/>
  </si>
  <si>
    <t># Unemployed</t>
    <phoneticPr fontId="7" type="noConversion"/>
  </si>
  <si>
    <t># in Labor Force</t>
    <phoneticPr fontId="7" type="noConversion"/>
  </si>
  <si>
    <t>Upper Estimate</t>
  </si>
  <si>
    <t>Lower Estimate</t>
  </si>
  <si>
    <t>Austin 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</si>
</sst>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sz val="11"/>
      <color indexed="8"/>
      <name val="Calibri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sz val="10"/>
      <color indexed="8"/>
      <name val="Corbel"/>
      <family val="2"/>
    </font>
    <font>
      <b/>
      <u/>
      <sz val="11"/>
      <color indexed="8"/>
      <name val="Corbel"/>
      <family val="2"/>
    </font>
    <font>
      <sz val="8"/>
      <name val="Verdana"/>
      <family val="2"/>
    </font>
    <font>
      <sz val="10"/>
      <color theme="1"/>
      <name val="Corbel"/>
      <family val="2"/>
    </font>
    <font>
      <b/>
      <sz val="10"/>
      <color indexed="8"/>
      <name val="Tw Cen MT"/>
      <family val="2"/>
    </font>
    <font>
      <sz val="10"/>
      <color indexed="8"/>
      <name val="Tw Cen MT"/>
      <family val="2"/>
    </font>
    <font>
      <sz val="11"/>
      <color theme="9"/>
      <name val="Tw Cen MT"/>
      <family val="2"/>
    </font>
    <font>
      <sz val="10"/>
      <color theme="1"/>
      <name val="Tw Cen MT"/>
      <family val="2"/>
    </font>
    <font>
      <sz val="1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164" fontId="5" fillId="0" borderId="0" xfId="0" applyNumberFormat="1" applyFont="1"/>
    <xf numFmtId="0" fontId="6" fillId="0" borderId="0" xfId="0" applyFont="1"/>
    <xf numFmtId="9" fontId="0" fillId="0" borderId="0" xfId="0" applyNumberFormat="1"/>
    <xf numFmtId="164" fontId="8" fillId="0" borderId="0" xfId="2" applyNumberFormat="1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10" fontId="10" fillId="0" borderId="0" xfId="0" applyNumberFormat="1" applyFont="1"/>
    <xf numFmtId="165" fontId="10" fillId="0" borderId="0" xfId="1" applyNumberFormat="1" applyFont="1"/>
    <xf numFmtId="165" fontId="10" fillId="0" borderId="0" xfId="1" applyNumberFormat="1" applyFont="1" applyAlignment="1">
      <alignment horizontal="right"/>
    </xf>
    <xf numFmtId="10" fontId="1" fillId="0" borderId="0" xfId="0" applyNumberFormat="1" applyFont="1"/>
    <xf numFmtId="10" fontId="11" fillId="0" borderId="0" xfId="0" applyNumberFormat="1" applyFont="1"/>
    <xf numFmtId="164" fontId="12" fillId="0" borderId="0" xfId="2" applyNumberFormat="1" applyFont="1"/>
    <xf numFmtId="10" fontId="13" fillId="0" borderId="0" xfId="0" applyNumberFormat="1" applyFont="1"/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Percent of the Labor Force that is Unemployed,</a:t>
            </a:r>
          </a:p>
          <a:p>
            <a:pPr>
              <a:defRPr/>
            </a:pPr>
            <a:r>
              <a:rPr lang="en-US"/>
              <a:t>by Disability Status,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59273840769903"/>
          <c:y val="0.24307888597258676"/>
          <c:w val="0.87189311862332997"/>
          <c:h val="0.5852212420606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With a Disability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Sheet3!$A$4:$A$7</c:f>
              <c:strCache>
                <c:ptCount val="4"/>
                <c:pt idx="0">
                  <c:v>Travis County</c:v>
                </c:pt>
                <c:pt idx="1">
                  <c:v>Austin MSA</c:v>
                </c:pt>
                <c:pt idx="2">
                  <c:v>Texas</c:v>
                </c:pt>
                <c:pt idx="3">
                  <c:v>USA</c:v>
                </c:pt>
              </c:strCache>
            </c:strRef>
          </c:cat>
          <c:val>
            <c:numRef>
              <c:f>Sheet3!$B$4:$B$7</c:f>
              <c:numCache>
                <c:formatCode>0.0%</c:formatCode>
                <c:ptCount val="4"/>
                <c:pt idx="0">
                  <c:v>0.10266984251128729</c:v>
                </c:pt>
                <c:pt idx="1">
                  <c:v>0.11028161028161028</c:v>
                </c:pt>
                <c:pt idx="2">
                  <c:v>0.11678620119868204</c:v>
                </c:pt>
                <c:pt idx="3">
                  <c:v>0.13892391590885914</c:v>
                </c:pt>
              </c:numCache>
            </c:numRef>
          </c:val>
        </c:ser>
        <c:ser>
          <c:idx val="1"/>
          <c:order val="1"/>
          <c:tx>
            <c:strRef>
              <c:f>Sheet3!$C$3</c:f>
              <c:strCache>
                <c:ptCount val="1"/>
                <c:pt idx="0">
                  <c:v>No Disability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Sheet3!$A$4:$A$7</c:f>
              <c:strCache>
                <c:ptCount val="4"/>
                <c:pt idx="0">
                  <c:v>Travis County</c:v>
                </c:pt>
                <c:pt idx="1">
                  <c:v>Austin MSA</c:v>
                </c:pt>
                <c:pt idx="2">
                  <c:v>Texas</c:v>
                </c:pt>
                <c:pt idx="3">
                  <c:v>USA</c:v>
                </c:pt>
              </c:strCache>
            </c:strRef>
          </c:cat>
          <c:val>
            <c:numRef>
              <c:f>Sheet3!$C$4:$C$7</c:f>
              <c:numCache>
                <c:formatCode>0.0%</c:formatCode>
                <c:ptCount val="4"/>
                <c:pt idx="0">
                  <c:v>3.8601443984748927E-2</c:v>
                </c:pt>
                <c:pt idx="1">
                  <c:v>4.049983934593275E-2</c:v>
                </c:pt>
                <c:pt idx="2">
                  <c:v>5.1154263821170096E-2</c:v>
                </c:pt>
                <c:pt idx="3">
                  <c:v>5.7821364293166512E-2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412056"/>
        <c:axId val="279443240"/>
      </c:barChart>
      <c:catAx>
        <c:axId val="27941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79443240"/>
        <c:crosses val="autoZero"/>
        <c:auto val="1"/>
        <c:lblAlgn val="ctr"/>
        <c:lblOffset val="100"/>
        <c:noMultiLvlLbl val="0"/>
      </c:catAx>
      <c:valAx>
        <c:axId val="27944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7941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401635485863691"/>
          <c:y val="0.91356527875793936"/>
          <c:w val="0.49481238351547702"/>
          <c:h val="7.6552079868561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265814</xdr:colOff>
      <xdr:row>1</xdr:row>
      <xdr:rowOff>177209</xdr:rowOff>
    </xdr:from>
    <xdr:to>
      <xdr:col>17</xdr:col>
      <xdr:colOff>418246</xdr:colOff>
      <xdr:row>15</xdr:row>
      <xdr:rowOff>333431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8023" y="365494"/>
          <a:ext cx="4261473" cy="2792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12343</xdr:colOff>
      <xdr:row>8</xdr:row>
      <xdr:rowOff>19050</xdr:rowOff>
    </xdr:from>
    <xdr:to>
      <xdr:col>14</xdr:col>
      <xdr:colOff>134155</xdr:colOff>
      <xdr:row>22</xdr:row>
      <xdr:rowOff>173587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86" zoomScaleNormal="86" workbookViewId="0">
      <selection activeCell="H16" sqref="H16"/>
    </sheetView>
  </sheetViews>
  <sheetFormatPr defaultColWidth="8.85546875" defaultRowHeight="15" x14ac:dyDescent="0.25"/>
  <cols>
    <col min="1" max="1" width="43.85546875" customWidth="1"/>
    <col min="2" max="2" width="23.85546875" customWidth="1"/>
    <col min="3" max="3" width="15.42578125" customWidth="1"/>
    <col min="6" max="6" width="9.42578125" bestFit="1" customWidth="1"/>
  </cols>
  <sheetData>
    <row r="1" spans="1:11" x14ac:dyDescent="0.25">
      <c r="A1" s="6" t="s">
        <v>6</v>
      </c>
      <c r="B1" s="9"/>
      <c r="C1" s="9"/>
      <c r="D1" s="10"/>
      <c r="E1" s="10"/>
      <c r="F1" s="10"/>
      <c r="G1" s="10"/>
      <c r="H1" s="10"/>
      <c r="I1" s="11"/>
      <c r="J1" s="11"/>
      <c r="K1" s="11"/>
    </row>
    <row r="2" spans="1:11" x14ac:dyDescent="0.25">
      <c r="A2" s="2"/>
      <c r="B2" s="9"/>
      <c r="C2" s="9"/>
      <c r="D2" s="10"/>
      <c r="E2" s="10"/>
      <c r="F2" s="10"/>
      <c r="G2" s="10"/>
      <c r="H2" s="10"/>
      <c r="I2" s="11"/>
      <c r="J2" s="11"/>
      <c r="K2" s="11"/>
    </row>
    <row r="3" spans="1:11" x14ac:dyDescent="0.25">
      <c r="A3" s="2"/>
      <c r="B3" s="9"/>
      <c r="C3" s="9"/>
      <c r="D3" s="9">
        <v>2009</v>
      </c>
      <c r="E3" s="9">
        <v>2010</v>
      </c>
      <c r="F3" s="9">
        <v>2011</v>
      </c>
      <c r="G3" s="9">
        <v>2012</v>
      </c>
      <c r="H3" s="9">
        <v>2013</v>
      </c>
      <c r="I3" s="9">
        <v>2014</v>
      </c>
      <c r="J3" s="9">
        <v>2015</v>
      </c>
      <c r="K3" s="11"/>
    </row>
    <row r="4" spans="1:11" x14ac:dyDescent="0.25">
      <c r="A4" s="2"/>
      <c r="C4" s="12"/>
      <c r="D4" s="13"/>
      <c r="E4" s="13"/>
      <c r="F4" s="13"/>
      <c r="G4" s="13"/>
      <c r="H4" s="13"/>
      <c r="I4" s="19"/>
      <c r="J4" s="19"/>
      <c r="K4" s="11"/>
    </row>
    <row r="5" spans="1:11" x14ac:dyDescent="0.25">
      <c r="A5" s="2"/>
      <c r="B5" s="21" t="s">
        <v>1</v>
      </c>
      <c r="C5" s="12" t="s">
        <v>7</v>
      </c>
      <c r="D5" s="13">
        <f>5104/(5104+24287)</f>
        <v>0.17365860297369942</v>
      </c>
      <c r="E5" s="13">
        <f>4185/(4185+22188)</f>
        <v>0.15868501876919577</v>
      </c>
      <c r="F5" s="13">
        <f>3706/(3706+21809)</f>
        <v>0.14524789339604155</v>
      </c>
      <c r="G5" s="13">
        <f>4963/(4963+26125)</f>
        <v>0.15964359238291301</v>
      </c>
      <c r="H5" s="13">
        <v>0.1618548149733765</v>
      </c>
      <c r="I5" s="19">
        <v>0.11884597814246055</v>
      </c>
      <c r="J5" s="19">
        <v>0.10266984251128729</v>
      </c>
      <c r="K5" s="11"/>
    </row>
    <row r="6" spans="1:11" x14ac:dyDescent="0.25">
      <c r="A6" s="2"/>
      <c r="B6" s="21"/>
      <c r="C6" s="12" t="s">
        <v>8</v>
      </c>
      <c r="D6" s="13">
        <f>38630/(38630+511129)</f>
        <v>7.0267153425410039E-2</v>
      </c>
      <c r="E6" s="13">
        <f>41634/(41634+490667)</f>
        <v>7.8215145190409188E-2</v>
      </c>
      <c r="F6" s="13">
        <f>43343/(43343+511187)</f>
        <v>7.8161686473229589E-2</v>
      </c>
      <c r="G6" s="13">
        <f>35848/(35848+527009)</f>
        <v>6.3689356266334082E-2</v>
      </c>
      <c r="H6" s="13">
        <v>5.379517421862548E-2</v>
      </c>
      <c r="I6" s="19">
        <v>3.9666034516099485E-2</v>
      </c>
      <c r="J6" s="19">
        <v>3.8601443984748927E-2</v>
      </c>
      <c r="K6" s="11"/>
    </row>
    <row r="7" spans="1:11" x14ac:dyDescent="0.25">
      <c r="A7" s="2"/>
      <c r="C7" s="12"/>
      <c r="D7" s="13"/>
      <c r="E7" s="13"/>
      <c r="F7" s="13"/>
      <c r="G7" s="13"/>
      <c r="H7" s="13"/>
      <c r="I7" s="19"/>
      <c r="J7" s="19"/>
      <c r="K7" s="11"/>
    </row>
    <row r="8" spans="1:11" x14ac:dyDescent="0.25">
      <c r="A8" s="2"/>
      <c r="B8" s="21" t="s">
        <v>27</v>
      </c>
      <c r="C8" s="12" t="s">
        <v>7</v>
      </c>
      <c r="D8" s="13">
        <f>8320/(8320+45844)</f>
        <v>0.15360756221844768</v>
      </c>
      <c r="E8" s="13">
        <f>7283/(7283+36089)</f>
        <v>0.16791939500138339</v>
      </c>
      <c r="F8" s="13">
        <f>8496/(8496+41695)</f>
        <v>0.16927337570480763</v>
      </c>
      <c r="G8" s="13">
        <f>8457/(8457+48096)</f>
        <v>0.14954113840114583</v>
      </c>
      <c r="H8" s="13">
        <v>0.13831927374773892</v>
      </c>
      <c r="I8" s="19">
        <v>0.11973541531121232</v>
      </c>
      <c r="J8" s="19">
        <v>0.11028161028161028</v>
      </c>
      <c r="K8" s="11"/>
    </row>
    <row r="9" spans="1:11" x14ac:dyDescent="0.25">
      <c r="A9" s="2"/>
      <c r="B9" s="21"/>
      <c r="C9" s="12" t="s">
        <v>8</v>
      </c>
      <c r="D9" s="13">
        <f>64260/(64260+800466)</f>
        <v>7.4312556809902786E-2</v>
      </c>
      <c r="E9" s="13">
        <f>66247/(66247+793879)</f>
        <v>7.7020111006991993E-2</v>
      </c>
      <c r="F9" s="13">
        <f>67825/(67825+818756)</f>
        <v>7.6501752236964246E-2</v>
      </c>
      <c r="G9" s="13">
        <f>58762/(58762+840995)</f>
        <v>6.5308744472118582E-2</v>
      </c>
      <c r="H9" s="13">
        <v>5.7087623908387938E-2</v>
      </c>
      <c r="I9" s="19">
        <v>4.2626479860920795E-2</v>
      </c>
      <c r="J9" s="19">
        <v>4.049983934593275E-2</v>
      </c>
      <c r="K9" s="11"/>
    </row>
    <row r="10" spans="1:11" x14ac:dyDescent="0.25">
      <c r="A10" s="2"/>
      <c r="C10" s="12"/>
      <c r="D10" s="13"/>
      <c r="E10" s="13"/>
      <c r="F10" s="13"/>
      <c r="G10" s="13"/>
      <c r="H10" s="13"/>
      <c r="I10" s="19"/>
      <c r="J10" s="19"/>
      <c r="K10" s="11"/>
    </row>
    <row r="11" spans="1:11" x14ac:dyDescent="0.25">
      <c r="A11" s="2"/>
      <c r="B11" s="21" t="s">
        <v>3</v>
      </c>
      <c r="C11" s="12" t="s">
        <v>7</v>
      </c>
      <c r="D11" s="13">
        <f>97101/(97101+583091)</f>
        <v>0.14275528086187431</v>
      </c>
      <c r="E11" s="13">
        <f>109503/(109503+580960)</f>
        <v>0.15859358140841726</v>
      </c>
      <c r="F11" s="13">
        <f>116050/(116050+580472)</f>
        <v>0.16661354558793548</v>
      </c>
      <c r="G11" s="13">
        <f>107724/(107724+587548)</f>
        <v>0.15493792357523387</v>
      </c>
      <c r="H11" s="13">
        <v>0.14350753189601437</v>
      </c>
      <c r="I11" s="19">
        <v>0.1280550965283333</v>
      </c>
      <c r="J11" s="19">
        <v>0.11678620119868204</v>
      </c>
      <c r="K11" s="11"/>
    </row>
    <row r="12" spans="1:11" x14ac:dyDescent="0.25">
      <c r="A12" s="2"/>
      <c r="B12" s="21"/>
      <c r="C12" s="12" t="s">
        <v>8</v>
      </c>
      <c r="D12" s="13">
        <f>833374/(833374+10093432)</f>
        <v>7.6268765090182808E-2</v>
      </c>
      <c r="E12" s="13">
        <f>906693/(906693+10164775)</f>
        <v>8.1894559962599353E-2</v>
      </c>
      <c r="F12" s="13">
        <f>872178/(872178+10326827)</f>
        <v>7.7879954513816185E-2</v>
      </c>
      <c r="G12" s="13">
        <f>828640/(828640+10537118)</f>
        <v>7.2906708025984715E-2</v>
      </c>
      <c r="H12" s="13">
        <v>6.4856317595275062E-2</v>
      </c>
      <c r="I12" s="19">
        <v>5.5295852575014806E-2</v>
      </c>
      <c r="J12" s="19">
        <v>5.1154263821170096E-2</v>
      </c>
      <c r="K12" s="11"/>
    </row>
    <row r="13" spans="1:11" x14ac:dyDescent="0.25">
      <c r="A13" s="2"/>
      <c r="C13" s="12"/>
      <c r="D13" s="13"/>
      <c r="E13" s="13"/>
      <c r="F13" s="13"/>
      <c r="G13" s="13"/>
      <c r="H13" s="13"/>
      <c r="I13" s="19"/>
      <c r="J13" s="19"/>
      <c r="K13" s="11"/>
    </row>
    <row r="14" spans="1:11" x14ac:dyDescent="0.25">
      <c r="A14" s="3"/>
      <c r="B14" s="21" t="s">
        <v>4</v>
      </c>
      <c r="C14" s="12" t="s">
        <v>7</v>
      </c>
      <c r="D14" s="13">
        <f>1479136/(1479136+6723694)</f>
        <v>0.18032020656285697</v>
      </c>
      <c r="E14" s="13">
        <f>1616259/(1616259+6368644)</f>
        <v>0.20241435619192868</v>
      </c>
      <c r="F14" s="13">
        <f>1611611/(1611611+6424956)</f>
        <v>0.2005347556985464</v>
      </c>
      <c r="G14" s="14">
        <f>1478584/(1478584+6460934)</f>
        <v>0.18623095255908481</v>
      </c>
      <c r="H14" s="13">
        <v>0.17334763491212207</v>
      </c>
      <c r="I14" s="19">
        <v>0.15426731694923451</v>
      </c>
      <c r="J14" s="19">
        <v>0.13892391590885914</v>
      </c>
      <c r="K14" s="11"/>
    </row>
    <row r="15" spans="1:11" x14ac:dyDescent="0.25">
      <c r="A15" s="3"/>
      <c r="B15" s="21"/>
      <c r="C15" s="12" t="s">
        <v>8</v>
      </c>
      <c r="D15" s="13">
        <f>12881913/(12881913+126478646)</f>
        <v>9.2435859129985268E-2</v>
      </c>
      <c r="E15" s="13">
        <f>14066412/(14066412+125358735)</f>
        <v>0.10088862950956759</v>
      </c>
      <c r="F15" s="13">
        <f>13290077/(13290077+126475529)</f>
        <v>9.5088322373102288E-2</v>
      </c>
      <c r="G15" s="14">
        <f>12194917/(12194917+128308448)</f>
        <v>8.6794483534255562E-2</v>
      </c>
      <c r="H15" s="13">
        <v>7.7892433045359172E-2</v>
      </c>
      <c r="I15" s="19">
        <v>6.6695842783863632E-2</v>
      </c>
      <c r="J15" s="19">
        <v>5.7821364293166512E-2</v>
      </c>
      <c r="K15" s="11"/>
    </row>
    <row r="16" spans="1:11" ht="88.5" customHeight="1" x14ac:dyDescent="0.25">
      <c r="A16" s="1" t="s">
        <v>9</v>
      </c>
      <c r="B16" s="10"/>
      <c r="C16" s="10"/>
      <c r="D16" s="10"/>
      <c r="E16" s="10"/>
      <c r="F16" s="10"/>
      <c r="G16" s="10"/>
      <c r="H16" s="10"/>
      <c r="I16" s="11"/>
      <c r="J16" s="11"/>
      <c r="K16" s="11"/>
    </row>
    <row r="17" spans="1:11" x14ac:dyDescent="0.25">
      <c r="A17" s="3"/>
      <c r="B17" s="10"/>
      <c r="C17" s="10"/>
      <c r="D17" s="10"/>
      <c r="E17" s="10"/>
      <c r="F17" s="10"/>
      <c r="G17" s="10"/>
      <c r="H17" s="10"/>
      <c r="I17" s="11"/>
      <c r="J17" s="11"/>
      <c r="K17" s="11"/>
    </row>
    <row r="18" spans="1:1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5">
      <c r="A19" s="2" t="s">
        <v>5</v>
      </c>
      <c r="B19" s="10"/>
      <c r="C19" s="10"/>
      <c r="D19" s="11"/>
      <c r="E19" s="11"/>
      <c r="F19" s="11"/>
      <c r="G19" s="11"/>
      <c r="H19" s="11"/>
      <c r="I19" s="11"/>
      <c r="J19" s="11"/>
      <c r="K19" s="11"/>
    </row>
    <row r="20" spans="1:11" x14ac:dyDescent="0.25">
      <c r="A20" s="3"/>
      <c r="B20" s="10" t="s">
        <v>10</v>
      </c>
      <c r="C20" s="10"/>
      <c r="D20" s="11"/>
      <c r="E20" s="11"/>
      <c r="F20" s="11"/>
      <c r="G20" s="11"/>
      <c r="H20" s="11"/>
      <c r="I20" s="11"/>
      <c r="J20" s="11"/>
      <c r="K20" s="11"/>
    </row>
    <row r="21" spans="1:11" x14ac:dyDescent="0.25">
      <c r="A21" s="3"/>
      <c r="B21" s="10"/>
      <c r="C21" s="10" t="s">
        <v>15</v>
      </c>
      <c r="D21" s="11"/>
      <c r="E21" s="11"/>
      <c r="F21" s="11"/>
      <c r="G21" s="11"/>
      <c r="H21" s="11"/>
      <c r="I21" s="11"/>
      <c r="J21" s="11"/>
      <c r="K21" s="11"/>
    </row>
    <row r="22" spans="1:11" x14ac:dyDescent="0.25">
      <c r="A22" s="3"/>
      <c r="B22" s="10"/>
      <c r="C22" s="10"/>
      <c r="D22" s="11"/>
      <c r="E22" s="11"/>
      <c r="F22" s="11"/>
      <c r="G22" s="11"/>
      <c r="H22" s="11"/>
      <c r="I22" s="11"/>
      <c r="J22" s="11"/>
      <c r="K22" s="11"/>
    </row>
    <row r="23" spans="1:1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</row>
  </sheetData>
  <mergeCells count="4">
    <mergeCell ref="B5:B6"/>
    <mergeCell ref="B8:B9"/>
    <mergeCell ref="B11:B12"/>
    <mergeCell ref="B14:B15"/>
  </mergeCells>
  <phoneticPr fontId="7" type="noConversion"/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9"/>
  <sheetViews>
    <sheetView topLeftCell="B1" workbookViewId="0">
      <selection activeCell="Y14" sqref="Y14"/>
    </sheetView>
  </sheetViews>
  <sheetFormatPr defaultColWidth="8.85546875" defaultRowHeight="15" x14ac:dyDescent="0.25"/>
  <cols>
    <col min="1" max="1" width="64.42578125" customWidth="1"/>
    <col min="2" max="2" width="23.85546875" customWidth="1"/>
    <col min="3" max="3" width="15.42578125" customWidth="1"/>
    <col min="4" max="6" width="8.85546875" hidden="1" customWidth="1"/>
    <col min="7" max="7" width="9.42578125" hidden="1" customWidth="1"/>
    <col min="8" max="9" width="12.28515625" customWidth="1"/>
    <col min="11" max="11" width="11.28515625" customWidth="1"/>
    <col min="12" max="12" width="12.42578125" customWidth="1"/>
    <col min="13" max="13" width="12" customWidth="1"/>
    <col min="16" max="16" width="14.42578125" customWidth="1"/>
    <col min="17" max="17" width="13.85546875" customWidth="1"/>
    <col min="20" max="23" width="0" hidden="1" customWidth="1"/>
  </cols>
  <sheetData>
    <row r="1" spans="1:31" x14ac:dyDescent="0.25">
      <c r="A1" s="6" t="s">
        <v>6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>
      <c r="A2" s="2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2"/>
      <c r="B3" s="9"/>
      <c r="C3" s="9"/>
      <c r="D3" s="9">
        <v>2008</v>
      </c>
      <c r="E3" s="9">
        <v>2009</v>
      </c>
      <c r="F3" s="9">
        <v>2010</v>
      </c>
      <c r="G3" s="9">
        <v>2011</v>
      </c>
      <c r="H3" s="9" t="s">
        <v>23</v>
      </c>
      <c r="I3" s="9" t="s">
        <v>24</v>
      </c>
      <c r="J3" s="9">
        <v>2015</v>
      </c>
      <c r="K3" s="10" t="s">
        <v>16</v>
      </c>
      <c r="L3" s="11" t="s">
        <v>17</v>
      </c>
      <c r="M3" s="11" t="s">
        <v>18</v>
      </c>
      <c r="N3" s="11" t="s">
        <v>19</v>
      </c>
      <c r="O3" s="11" t="s">
        <v>20</v>
      </c>
      <c r="P3" s="11" t="s">
        <v>21</v>
      </c>
      <c r="Q3" s="11" t="s">
        <v>22</v>
      </c>
      <c r="R3" s="11"/>
      <c r="S3" s="11"/>
      <c r="T3" s="9">
        <v>2013</v>
      </c>
      <c r="U3" s="10" t="s">
        <v>25</v>
      </c>
      <c r="V3" s="10" t="s">
        <v>26</v>
      </c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A4" s="2"/>
      <c r="B4" s="12" t="s">
        <v>1</v>
      </c>
      <c r="C4" s="12"/>
      <c r="D4" s="13"/>
      <c r="E4" s="13"/>
      <c r="F4" s="13"/>
      <c r="G4" s="13"/>
      <c r="H4" s="15"/>
      <c r="I4" s="15"/>
      <c r="J4" s="14"/>
      <c r="K4" s="15"/>
      <c r="L4" s="15"/>
      <c r="M4" s="14"/>
      <c r="N4" s="17"/>
      <c r="O4" s="17"/>
      <c r="P4" s="17"/>
      <c r="Q4" s="17"/>
      <c r="R4" s="11"/>
      <c r="S4" s="11"/>
      <c r="T4" s="13"/>
      <c r="U4" s="13"/>
      <c r="V4" s="13"/>
      <c r="W4" s="11"/>
      <c r="X4" s="11"/>
      <c r="Y4" s="11"/>
      <c r="Z4" s="11"/>
      <c r="AA4" s="11"/>
      <c r="AB4" s="11"/>
      <c r="AC4" s="11"/>
      <c r="AD4" s="11"/>
      <c r="AE4" s="11"/>
    </row>
    <row r="5" spans="1:31" x14ac:dyDescent="0.25">
      <c r="A5" s="2"/>
      <c r="B5" s="12"/>
      <c r="C5" s="12" t="s">
        <v>7</v>
      </c>
      <c r="D5" s="13"/>
      <c r="E5" s="13">
        <f>5104/(5104+24287)</f>
        <v>0.17365860297369942</v>
      </c>
      <c r="F5" s="13">
        <f>4185/(4185+22188)</f>
        <v>0.15868501876919577</v>
      </c>
      <c r="G5" s="13">
        <f>3706/(3706+21809)</f>
        <v>0.14524789339604155</v>
      </c>
      <c r="H5" s="16">
        <v>2888</v>
      </c>
      <c r="I5" s="15">
        <f>H5+25241</f>
        <v>28129</v>
      </c>
      <c r="J5" s="14">
        <f t="shared" ref="J5:J12" si="0">H5/I5</f>
        <v>0.10266984251128729</v>
      </c>
      <c r="K5" s="15">
        <v>1085</v>
      </c>
      <c r="L5" s="15">
        <f>SQRT(SUMSQ(K5,2915))</f>
        <v>3110.377790558568</v>
      </c>
      <c r="M5" s="14">
        <f t="shared" ref="M5:M15" si="1">SQRT(K5^2-(J5^2*L5^2))/I5</f>
        <v>3.686375421634909E-2</v>
      </c>
      <c r="N5" s="17">
        <f t="shared" ref="N5:N15" si="2">M5/1.645</f>
        <v>2.2409577031215253E-2</v>
      </c>
      <c r="O5" s="18">
        <f t="shared" ref="O5:O15" si="3">N5/J5</f>
        <v>0.21826834913817653</v>
      </c>
      <c r="P5" s="17">
        <f t="shared" ref="P5:P15" si="4">J5+M5</f>
        <v>0.13953359672763638</v>
      </c>
      <c r="Q5" s="17">
        <f t="shared" ref="Q5:Q15" si="5">J5-M5</f>
        <v>6.5806088294938198E-2</v>
      </c>
      <c r="R5" s="11"/>
      <c r="S5" s="11"/>
      <c r="T5" s="13">
        <v>0.1618548149733765</v>
      </c>
      <c r="U5" s="13">
        <v>0.19092818219509877</v>
      </c>
      <c r="V5" s="13">
        <v>0.13278144775165424</v>
      </c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25">
      <c r="A6" s="2"/>
      <c r="B6" s="12"/>
      <c r="C6" s="12" t="s">
        <v>8</v>
      </c>
      <c r="D6" s="13"/>
      <c r="E6" s="13">
        <f>38630/(38630+511129)</f>
        <v>7.0267153425410039E-2</v>
      </c>
      <c r="F6" s="13">
        <f>41634/(41634+490667)</f>
        <v>7.8215145190409188E-2</v>
      </c>
      <c r="G6" s="13">
        <f>43343/(43343+511187)</f>
        <v>7.8161686473229589E-2</v>
      </c>
      <c r="H6" s="16">
        <v>23792</v>
      </c>
      <c r="I6" s="15">
        <f>H6+592558</f>
        <v>616350</v>
      </c>
      <c r="J6" s="14">
        <f t="shared" si="0"/>
        <v>3.8601443984748927E-2</v>
      </c>
      <c r="K6" s="15">
        <v>2886</v>
      </c>
      <c r="L6" s="15">
        <f>SQRT(SUMSQ(K6,8182))</f>
        <v>8676.0659287490435</v>
      </c>
      <c r="M6" s="14">
        <f t="shared" si="1"/>
        <v>4.6507694203175264E-3</v>
      </c>
      <c r="N6" s="17">
        <f t="shared" si="2"/>
        <v>2.8272154530805632E-3</v>
      </c>
      <c r="O6" s="17">
        <f t="shared" si="3"/>
        <v>7.3241183780523078E-2</v>
      </c>
      <c r="P6" s="17">
        <f t="shared" si="4"/>
        <v>4.325221340506645E-2</v>
      </c>
      <c r="Q6" s="17">
        <f t="shared" si="5"/>
        <v>3.3950674564431405E-2</v>
      </c>
      <c r="R6" s="11"/>
      <c r="S6" s="11"/>
      <c r="T6" s="13">
        <v>5.379517421862548E-2</v>
      </c>
      <c r="U6" s="13">
        <v>5.8562940161913275E-2</v>
      </c>
      <c r="V6" s="13">
        <v>4.9027408275337685E-2</v>
      </c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2"/>
      <c r="B7" s="12" t="s">
        <v>2</v>
      </c>
      <c r="C7" s="12"/>
      <c r="D7" s="13"/>
      <c r="E7" s="13"/>
      <c r="F7" s="13"/>
      <c r="G7" s="13"/>
      <c r="H7" s="15"/>
      <c r="I7" s="15"/>
      <c r="J7" s="14"/>
      <c r="K7" s="15"/>
      <c r="L7" s="15"/>
      <c r="M7" s="14"/>
      <c r="N7" s="17"/>
      <c r="O7" s="17"/>
      <c r="P7" s="17"/>
      <c r="Q7" s="17"/>
      <c r="R7" s="11"/>
      <c r="S7" s="11"/>
      <c r="T7" s="13"/>
      <c r="U7" s="13"/>
      <c r="V7" s="13"/>
      <c r="W7" s="11"/>
      <c r="X7" s="11"/>
      <c r="Y7" s="11"/>
      <c r="Z7" s="11"/>
      <c r="AA7" s="11"/>
      <c r="AB7" s="11"/>
      <c r="AC7" s="11"/>
      <c r="AD7" s="11"/>
      <c r="AE7" s="11"/>
    </row>
    <row r="8" spans="1:31" x14ac:dyDescent="0.25">
      <c r="A8" s="2"/>
      <c r="B8" s="12"/>
      <c r="C8" s="12" t="s">
        <v>7</v>
      </c>
      <c r="D8" s="13"/>
      <c r="E8" s="13">
        <f>8320/(8320+45844)</f>
        <v>0.15360756221844768</v>
      </c>
      <c r="F8" s="13">
        <f>7283/(7283+36089)</f>
        <v>0.16791939500138339</v>
      </c>
      <c r="G8" s="13">
        <f>8496/(8496+41695)</f>
        <v>0.16927337570480763</v>
      </c>
      <c r="H8" s="16">
        <v>5835</v>
      </c>
      <c r="I8" s="15">
        <f>H8+47075</f>
        <v>52910</v>
      </c>
      <c r="J8" s="14">
        <f t="shared" si="0"/>
        <v>0.11028161028161028</v>
      </c>
      <c r="K8" s="15">
        <v>1348</v>
      </c>
      <c r="L8" s="15">
        <f>SQRT(SUMSQ(K8,4745))</f>
        <v>4932.7607888483708</v>
      </c>
      <c r="M8" s="14">
        <f t="shared" si="1"/>
        <v>2.3310519194642519E-2</v>
      </c>
      <c r="N8" s="17">
        <f t="shared" si="2"/>
        <v>1.4170528385800924E-2</v>
      </c>
      <c r="O8" s="20">
        <f t="shared" si="3"/>
        <v>0.12849402860200976</v>
      </c>
      <c r="P8" s="17">
        <f t="shared" si="4"/>
        <v>0.13359212947625279</v>
      </c>
      <c r="Q8" s="17">
        <f t="shared" si="5"/>
        <v>8.6971091086967767E-2</v>
      </c>
      <c r="R8" s="11"/>
      <c r="S8" s="11"/>
      <c r="T8" s="13">
        <v>0.13831927374773892</v>
      </c>
      <c r="U8" s="13">
        <v>0.16200881713201531</v>
      </c>
      <c r="V8" s="13">
        <v>0.11462973036346252</v>
      </c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2"/>
      <c r="B9" s="12"/>
      <c r="C9" s="12" t="s">
        <v>8</v>
      </c>
      <c r="D9" s="13"/>
      <c r="E9" s="13">
        <f>64260/(64260+800466)</f>
        <v>7.4312556809902786E-2</v>
      </c>
      <c r="F9" s="13">
        <f>66247/(66247+793879)</f>
        <v>7.7020111006991993E-2</v>
      </c>
      <c r="G9" s="13">
        <f>67825/(67825+818756)</f>
        <v>7.6501752236964246E-2</v>
      </c>
      <c r="H9" s="16">
        <v>40461</v>
      </c>
      <c r="I9" s="15">
        <f>H9+958580</f>
        <v>999041</v>
      </c>
      <c r="J9" s="14">
        <f t="shared" si="0"/>
        <v>4.049983934593275E-2</v>
      </c>
      <c r="K9" s="15">
        <v>3813</v>
      </c>
      <c r="L9" s="15">
        <f>SQRT(SUMSQ(K9,10526))</f>
        <v>11195.340325331785</v>
      </c>
      <c r="M9" s="14">
        <f t="shared" si="1"/>
        <v>3.7895804353691924E-3</v>
      </c>
      <c r="N9" s="17">
        <f t="shared" si="2"/>
        <v>2.3036963132943419E-3</v>
      </c>
      <c r="O9" s="17">
        <f t="shared" si="3"/>
        <v>5.6881616087835013E-2</v>
      </c>
      <c r="P9" s="17">
        <f t="shared" si="4"/>
        <v>4.4289419781301943E-2</v>
      </c>
      <c r="Q9" s="17">
        <f t="shared" si="5"/>
        <v>3.6710258910563558E-2</v>
      </c>
      <c r="R9" s="11"/>
      <c r="S9" s="11"/>
      <c r="T9" s="13">
        <v>5.7087623908387938E-2</v>
      </c>
      <c r="U9" s="13">
        <v>6.1299553533479455E-2</v>
      </c>
      <c r="V9" s="13">
        <v>5.2875694283296422E-2</v>
      </c>
      <c r="W9" s="11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2"/>
      <c r="B10" s="12" t="s">
        <v>3</v>
      </c>
      <c r="C10" s="12"/>
      <c r="D10" s="13"/>
      <c r="E10" s="13"/>
      <c r="F10" s="13"/>
      <c r="G10" s="13"/>
      <c r="H10" s="15"/>
      <c r="I10" s="15"/>
      <c r="J10" s="14"/>
      <c r="K10" s="15"/>
      <c r="L10" s="15"/>
      <c r="M10" s="14"/>
      <c r="N10" s="17"/>
      <c r="O10" s="17"/>
      <c r="P10" s="17"/>
      <c r="Q10" s="17"/>
      <c r="R10" s="11"/>
      <c r="S10" s="11"/>
      <c r="T10" s="13"/>
      <c r="U10" s="13"/>
      <c r="V10" s="13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2"/>
      <c r="B11" s="12"/>
      <c r="C11" s="12" t="s">
        <v>7</v>
      </c>
      <c r="D11" s="13"/>
      <c r="E11" s="13">
        <f>97101/(97101+583091)</f>
        <v>0.14275528086187431</v>
      </c>
      <c r="F11" s="13">
        <f>109503/(109503+580960)</f>
        <v>0.15859358140841726</v>
      </c>
      <c r="G11" s="13">
        <f>116050/(116050+580472)</f>
        <v>0.16661354558793548</v>
      </c>
      <c r="H11" s="16">
        <v>82834</v>
      </c>
      <c r="I11" s="15">
        <f>H11+626445</f>
        <v>709279</v>
      </c>
      <c r="J11" s="14">
        <f t="shared" si="0"/>
        <v>0.11678620119868204</v>
      </c>
      <c r="K11" s="15">
        <v>5531</v>
      </c>
      <c r="L11" s="15">
        <f>SQRT(SUMSQ(K11,16169))</f>
        <v>17088.842032156539</v>
      </c>
      <c r="M11" s="14">
        <f t="shared" si="1"/>
        <v>7.272722292373991E-3</v>
      </c>
      <c r="N11" s="17">
        <f t="shared" si="2"/>
        <v>4.4211077765191438E-3</v>
      </c>
      <c r="O11" s="17">
        <f t="shared" si="3"/>
        <v>3.7856422515171573E-2</v>
      </c>
      <c r="P11" s="17">
        <f t="shared" si="4"/>
        <v>0.12405892349105603</v>
      </c>
      <c r="Q11" s="17">
        <f t="shared" si="5"/>
        <v>0.10951347890630804</v>
      </c>
      <c r="R11" s="11"/>
      <c r="S11" s="11"/>
      <c r="T11" s="13">
        <v>0.14350753189601437</v>
      </c>
      <c r="U11" s="13">
        <v>0.15070451284084194</v>
      </c>
      <c r="V11" s="13">
        <v>0.1363105509511868</v>
      </c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x14ac:dyDescent="0.25">
      <c r="A12" s="2"/>
      <c r="B12" s="12"/>
      <c r="C12" s="12" t="s">
        <v>8</v>
      </c>
      <c r="D12" s="13"/>
      <c r="E12" s="13">
        <f>833374/(833374+10093432)</f>
        <v>7.6268765090182808E-2</v>
      </c>
      <c r="F12" s="13">
        <f>906693/(906693+10164775)</f>
        <v>8.1894559962599353E-2</v>
      </c>
      <c r="G12" s="13">
        <f>872178/(872178+10326827)</f>
        <v>7.7879954513816185E-2</v>
      </c>
      <c r="H12" s="16">
        <v>611721</v>
      </c>
      <c r="I12" s="15">
        <f>H12+11346637</f>
        <v>11958358</v>
      </c>
      <c r="J12" s="14">
        <f t="shared" si="0"/>
        <v>5.1154263821170096E-2</v>
      </c>
      <c r="K12" s="15">
        <v>16808</v>
      </c>
      <c r="L12" s="15">
        <f>SQRT(SUMSQ(K12,31680))</f>
        <v>35862.672293068179</v>
      </c>
      <c r="M12" s="14">
        <f t="shared" si="1"/>
        <v>1.3971470138762995E-3</v>
      </c>
      <c r="N12" s="17">
        <f t="shared" si="2"/>
        <v>8.4932949171811513E-4</v>
      </c>
      <c r="O12" s="17">
        <f t="shared" si="3"/>
        <v>1.6603298107999001E-2</v>
      </c>
      <c r="P12" s="17">
        <f t="shared" si="4"/>
        <v>5.2551410835046393E-2</v>
      </c>
      <c r="Q12" s="17">
        <f t="shared" si="5"/>
        <v>4.9757116807293798E-2</v>
      </c>
      <c r="R12" s="11"/>
      <c r="S12" s="11"/>
      <c r="T12" s="13">
        <v>6.4856317595275062E-2</v>
      </c>
      <c r="U12" s="13">
        <v>6.6159651055785806E-2</v>
      </c>
      <c r="V12" s="13">
        <v>6.3552984134764318E-2</v>
      </c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x14ac:dyDescent="0.25">
      <c r="A13" s="2"/>
      <c r="B13" s="12" t="s">
        <v>4</v>
      </c>
      <c r="C13" s="12"/>
      <c r="D13" s="13"/>
      <c r="E13" s="13"/>
      <c r="F13" s="13"/>
      <c r="G13" s="13"/>
      <c r="H13" s="15"/>
      <c r="I13" s="15"/>
      <c r="J13" s="14"/>
      <c r="K13" s="15"/>
      <c r="L13" s="15"/>
      <c r="M13" s="14"/>
      <c r="N13" s="17"/>
      <c r="O13" s="17"/>
      <c r="P13" s="17"/>
      <c r="Q13" s="17"/>
      <c r="R13" s="11"/>
      <c r="S13" s="11"/>
      <c r="T13" s="13"/>
      <c r="U13" s="13"/>
      <c r="V13" s="13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3"/>
      <c r="B14" s="10"/>
      <c r="C14" s="12" t="s">
        <v>7</v>
      </c>
      <c r="D14" s="10"/>
      <c r="E14" s="13">
        <f>1479136/(1479136+6723694)</f>
        <v>0.18032020656285697</v>
      </c>
      <c r="F14" s="13">
        <f>1616259/(1616259+6368644)</f>
        <v>0.20241435619192868</v>
      </c>
      <c r="G14" s="13">
        <f>1611611/(1611611+6424956)</f>
        <v>0.2005347556985464</v>
      </c>
      <c r="H14" s="15">
        <v>1148323</v>
      </c>
      <c r="I14" s="15">
        <f>H14+7117518</f>
        <v>8265841</v>
      </c>
      <c r="J14" s="14">
        <f>H14/I14</f>
        <v>0.13892391590885914</v>
      </c>
      <c r="K14" s="15">
        <v>16308</v>
      </c>
      <c r="L14" s="15">
        <f>SQRT(SUMSQ(K14,40592))</f>
        <v>43745.41493688224</v>
      </c>
      <c r="M14" s="14">
        <f t="shared" si="1"/>
        <v>1.8308268282743729E-3</v>
      </c>
      <c r="N14" s="17">
        <f t="shared" si="2"/>
        <v>1.1129646372488589E-3</v>
      </c>
      <c r="O14" s="17">
        <f t="shared" si="3"/>
        <v>8.0113249757444056E-3</v>
      </c>
      <c r="P14" s="17">
        <f t="shared" si="4"/>
        <v>0.14075474273713351</v>
      </c>
      <c r="Q14" s="17">
        <f t="shared" si="5"/>
        <v>0.13709308908058476</v>
      </c>
      <c r="R14" s="11"/>
      <c r="S14" s="11"/>
      <c r="T14" s="13">
        <v>0.17334763491212207</v>
      </c>
      <c r="U14" s="13">
        <v>0.17600056281802931</v>
      </c>
      <c r="V14" s="13">
        <v>0.17069470700621484</v>
      </c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x14ac:dyDescent="0.25">
      <c r="A15" s="3"/>
      <c r="B15" s="10"/>
      <c r="C15" s="12" t="s">
        <v>8</v>
      </c>
      <c r="D15" s="10"/>
      <c r="E15" s="13">
        <f>12881913/(12881913+126478646)</f>
        <v>9.2435859129985268E-2</v>
      </c>
      <c r="F15" s="13">
        <f>14066412/(14066412+125358735)</f>
        <v>0.10088862950956759</v>
      </c>
      <c r="G15" s="13">
        <f>13290077/(13290077+126475529)</f>
        <v>9.5088322373102288E-2</v>
      </c>
      <c r="H15" s="15">
        <v>8218268</v>
      </c>
      <c r="I15" s="15">
        <f>H15+133913764</f>
        <v>142132032</v>
      </c>
      <c r="J15" s="14">
        <f>H15/I15</f>
        <v>5.7821364293166512E-2</v>
      </c>
      <c r="K15" s="15">
        <v>52923</v>
      </c>
      <c r="L15" s="15">
        <f>SQRT(SUMSQ(K15,108632))</f>
        <v>120837.7232200276</v>
      </c>
      <c r="M15" s="14">
        <f t="shared" si="1"/>
        <v>3.6909170093488299E-4</v>
      </c>
      <c r="N15" s="17">
        <f t="shared" si="2"/>
        <v>2.2437185467166139E-4</v>
      </c>
      <c r="O15" s="17">
        <f t="shared" si="3"/>
        <v>3.8804316953513717E-3</v>
      </c>
      <c r="P15" s="17">
        <f t="shared" si="4"/>
        <v>5.8190455994101394E-2</v>
      </c>
      <c r="Q15" s="17">
        <f t="shared" si="5"/>
        <v>5.745227259223163E-2</v>
      </c>
      <c r="R15" s="11"/>
      <c r="S15" s="11"/>
      <c r="T15" s="13">
        <v>7.7892433045359172E-2</v>
      </c>
      <c r="U15" s="13">
        <v>7.8298839405919488E-2</v>
      </c>
      <c r="V15" s="13">
        <v>7.7486026684798856E-2</v>
      </c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88.5" customHeight="1" x14ac:dyDescent="0.25">
      <c r="A16" s="1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25">
      <c r="A17" s="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0"/>
      <c r="M18" s="1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2" t="s">
        <v>5</v>
      </c>
      <c r="B19" s="10"/>
      <c r="C19" s="10"/>
      <c r="D19" s="10"/>
      <c r="E19" s="11"/>
      <c r="F19" s="11"/>
      <c r="G19" s="11"/>
      <c r="H19" s="11"/>
      <c r="I19" s="11"/>
      <c r="J19" s="11"/>
      <c r="K19" s="11"/>
      <c r="L19" s="10"/>
      <c r="M19" s="10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3"/>
      <c r="B20" s="10" t="s">
        <v>10</v>
      </c>
      <c r="C20" s="10"/>
      <c r="D20" s="10"/>
      <c r="E20" s="11"/>
      <c r="F20" s="11"/>
      <c r="G20" s="11"/>
      <c r="H20" s="11"/>
      <c r="I20" s="11"/>
      <c r="J20" s="11"/>
      <c r="K20" s="11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25">
      <c r="A21" s="3"/>
      <c r="B21" s="10"/>
      <c r="C21" s="10" t="s">
        <v>15</v>
      </c>
      <c r="D21" s="10"/>
      <c r="E21" s="11"/>
      <c r="F21" s="11"/>
      <c r="G21" s="11"/>
      <c r="H21" s="11"/>
      <c r="I21" s="11"/>
      <c r="J21" s="11"/>
      <c r="K21" s="11"/>
      <c r="L21" s="10"/>
      <c r="M21" s="10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25">
      <c r="A22" s="3"/>
      <c r="B22" s="10"/>
      <c r="C22" s="10"/>
      <c r="D22" s="10"/>
      <c r="E22" s="11"/>
      <c r="F22" s="11"/>
      <c r="G22" s="11"/>
      <c r="H22" s="11"/>
      <c r="I22" s="11"/>
      <c r="J22" s="11"/>
      <c r="K22" s="11"/>
      <c r="L22" s="10"/>
      <c r="M22" s="10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0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2:3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2:3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2:3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2:3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2:3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2:3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2:3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2:3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2:3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2:3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3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2:3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2:3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2:3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2:3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3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3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2:31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2:31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2:31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2:3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2:3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2:31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2:3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2:3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2:31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2:31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2:3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2:3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2:31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2:31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2:31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2:31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2:3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2:31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2:31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2:3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2:3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2:31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2:3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2:3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2:3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2:31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2:3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2:3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2:31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2:31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2:31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2:31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2:3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2:31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2:31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2:31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2:31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2:31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2:31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2:31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2:31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2:31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2:31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2:31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2:31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2:31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2:31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2:31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2:31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2:31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2:31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2:31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2:31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2:31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2:31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2:31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2:31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2:31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2:31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2:31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2:31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2:31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2:31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2:31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2:31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2:31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2:31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2:31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2:31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2:31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2:31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2:31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2:31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2:31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2:31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2:31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2:31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2:31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2:31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2:31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2:31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2:31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2:31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2:31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2:31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2:31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2:31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2:31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2:31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2:31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2:31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2:31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2:31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2:31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2:31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2:31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2:31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2:31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2:31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2:31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2:31" x14ac:dyDescent="0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2:31" x14ac:dyDescent="0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2:31" x14ac:dyDescent="0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2:31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2:31" x14ac:dyDescent="0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2:31" x14ac:dyDescent="0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2:31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2:31" x14ac:dyDescent="0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2:31" x14ac:dyDescent="0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2:31" x14ac:dyDescent="0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</sheetData>
  <phoneticPr fontId="7" type="noConversion"/>
  <pageMargins left="0.7" right="0.7" top="0.75" bottom="0.75" header="0.3" footer="0.3"/>
  <pageSetup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I16" sqref="I16"/>
    </sheetView>
  </sheetViews>
  <sheetFormatPr defaultColWidth="8.85546875" defaultRowHeight="15" x14ac:dyDescent="0.25"/>
  <sheetData>
    <row r="1" spans="1:8" x14ac:dyDescent="0.25">
      <c r="A1" s="6" t="s">
        <v>6</v>
      </c>
      <c r="B1" s="2"/>
      <c r="C1" s="2"/>
      <c r="D1" s="3"/>
      <c r="E1" s="3"/>
      <c r="F1" s="3"/>
      <c r="G1" s="3"/>
      <c r="H1" s="3"/>
    </row>
    <row r="2" spans="1:8" x14ac:dyDescent="0.25">
      <c r="A2" s="2"/>
      <c r="B2" s="2"/>
      <c r="C2" s="2"/>
      <c r="D2" s="3"/>
      <c r="E2" s="3"/>
      <c r="F2" s="3"/>
      <c r="G2" s="3"/>
      <c r="H2" s="3"/>
    </row>
    <row r="3" spans="1:8" x14ac:dyDescent="0.25">
      <c r="A3" s="2"/>
      <c r="B3" s="2"/>
      <c r="C3" s="2"/>
      <c r="D3" s="2">
        <v>2008</v>
      </c>
      <c r="E3" s="2">
        <v>2009</v>
      </c>
      <c r="F3" s="2">
        <v>2010</v>
      </c>
      <c r="G3" s="2">
        <v>2011</v>
      </c>
      <c r="H3" s="2">
        <v>2012</v>
      </c>
    </row>
    <row r="4" spans="1:8" x14ac:dyDescent="0.25">
      <c r="A4" s="2"/>
      <c r="B4" s="4" t="s">
        <v>0</v>
      </c>
      <c r="C4" s="4"/>
      <c r="D4" s="5"/>
      <c r="E4" s="5"/>
      <c r="F4" s="5"/>
      <c r="G4" s="5"/>
      <c r="H4" s="5"/>
    </row>
    <row r="5" spans="1:8" x14ac:dyDescent="0.25">
      <c r="A5" s="2"/>
      <c r="B5" s="4"/>
      <c r="C5" s="4" t="s">
        <v>7</v>
      </c>
      <c r="D5" s="5"/>
      <c r="E5" s="5"/>
      <c r="F5" s="5"/>
      <c r="G5" s="5"/>
      <c r="H5" s="5"/>
    </row>
    <row r="6" spans="1:8" x14ac:dyDescent="0.25">
      <c r="A6" s="2"/>
      <c r="B6" s="4"/>
      <c r="C6" s="4" t="s">
        <v>8</v>
      </c>
      <c r="D6" s="5"/>
      <c r="E6" s="5"/>
      <c r="F6" s="5"/>
      <c r="G6" s="5"/>
      <c r="H6" s="5"/>
    </row>
    <row r="7" spans="1:8" x14ac:dyDescent="0.25">
      <c r="A7" s="2"/>
      <c r="B7" s="4" t="s">
        <v>1</v>
      </c>
      <c r="C7" s="4"/>
      <c r="D7" s="5"/>
      <c r="E7" s="5"/>
      <c r="F7" s="5"/>
      <c r="G7" s="5"/>
      <c r="H7" s="5"/>
    </row>
    <row r="8" spans="1:8" x14ac:dyDescent="0.25">
      <c r="A8" s="2"/>
      <c r="B8" s="4"/>
      <c r="C8" s="4" t="s">
        <v>7</v>
      </c>
      <c r="D8" s="5"/>
      <c r="E8" s="5"/>
      <c r="F8" s="5"/>
      <c r="G8" s="5">
        <f>3706/47049</f>
        <v>7.8768943016854762E-2</v>
      </c>
      <c r="H8" s="5"/>
    </row>
    <row r="9" spans="1:8" x14ac:dyDescent="0.25">
      <c r="A9" s="2"/>
      <c r="B9" s="4"/>
      <c r="C9" s="4" t="s">
        <v>8</v>
      </c>
      <c r="D9" s="5"/>
      <c r="E9" s="5"/>
      <c r="F9" s="5"/>
      <c r="G9" s="5">
        <f>43343/47049</f>
        <v>0.92123105698314522</v>
      </c>
      <c r="H9" s="5"/>
    </row>
    <row r="10" spans="1:8" x14ac:dyDescent="0.25">
      <c r="A10" s="2"/>
      <c r="B10" s="4" t="s">
        <v>2</v>
      </c>
      <c r="C10" s="4"/>
      <c r="D10" s="5"/>
      <c r="E10" s="5"/>
      <c r="F10" s="5"/>
      <c r="G10" s="5"/>
      <c r="H10" s="5"/>
    </row>
    <row r="11" spans="1:8" x14ac:dyDescent="0.25">
      <c r="A11" s="2"/>
      <c r="B11" s="4"/>
      <c r="C11" s="4" t="s">
        <v>7</v>
      </c>
      <c r="D11" s="5"/>
      <c r="E11" s="5"/>
      <c r="F11" s="5"/>
      <c r="G11" s="5"/>
      <c r="H11" s="5"/>
    </row>
    <row r="12" spans="1:8" x14ac:dyDescent="0.25">
      <c r="A12" s="2"/>
      <c r="B12" s="4"/>
      <c r="C12" s="4" t="s">
        <v>8</v>
      </c>
      <c r="D12" s="5"/>
      <c r="E12" s="5"/>
      <c r="F12" s="5"/>
      <c r="G12" s="5"/>
      <c r="H12" s="5"/>
    </row>
    <row r="13" spans="1:8" x14ac:dyDescent="0.25">
      <c r="A13" s="2"/>
      <c r="B13" s="4" t="s">
        <v>3</v>
      </c>
      <c r="C13" s="4"/>
      <c r="D13" s="5"/>
      <c r="E13" s="5"/>
      <c r="F13" s="5"/>
      <c r="G13" s="5"/>
      <c r="H13" s="5"/>
    </row>
    <row r="14" spans="1:8" x14ac:dyDescent="0.25">
      <c r="A14" s="2"/>
      <c r="B14" s="4"/>
      <c r="C14" s="4" t="s">
        <v>7</v>
      </c>
      <c r="D14" s="5"/>
      <c r="E14" s="5"/>
      <c r="F14" s="5"/>
      <c r="G14" s="5"/>
      <c r="H14" s="5"/>
    </row>
    <row r="15" spans="1:8" x14ac:dyDescent="0.25">
      <c r="A15" s="2"/>
      <c r="B15" s="4"/>
      <c r="C15" s="4" t="s">
        <v>8</v>
      </c>
      <c r="D15" s="5"/>
      <c r="E15" s="5"/>
      <c r="F15" s="5"/>
      <c r="G15" s="5"/>
      <c r="H15" s="5"/>
    </row>
    <row r="16" spans="1:8" x14ac:dyDescent="0.25">
      <c r="A16" s="2"/>
      <c r="B16" s="4" t="s">
        <v>4</v>
      </c>
      <c r="C16" s="4"/>
      <c r="D16" s="5"/>
      <c r="E16" s="5"/>
      <c r="F16" s="5"/>
      <c r="G16" s="5"/>
      <c r="H16" s="5"/>
    </row>
    <row r="17" spans="1:8" x14ac:dyDescent="0.25">
      <c r="A17" s="3"/>
      <c r="B17" s="3"/>
      <c r="C17" s="4" t="s">
        <v>7</v>
      </c>
      <c r="D17" s="3"/>
      <c r="E17" s="5"/>
      <c r="F17" s="5"/>
      <c r="G17" s="3"/>
      <c r="H17" s="3"/>
    </row>
    <row r="18" spans="1:8" x14ac:dyDescent="0.25">
      <c r="A18" s="3"/>
      <c r="B18" s="3"/>
      <c r="C18" s="4" t="s">
        <v>8</v>
      </c>
      <c r="D18" s="3"/>
      <c r="E18" s="5"/>
      <c r="F18" s="5"/>
      <c r="G18" s="3"/>
      <c r="H18" s="3"/>
    </row>
    <row r="22" spans="1:8" x14ac:dyDescent="0.25">
      <c r="A22" t="s">
        <v>11</v>
      </c>
    </row>
    <row r="23" spans="1:8" x14ac:dyDescent="0.25">
      <c r="A23" t="s">
        <v>12</v>
      </c>
    </row>
    <row r="25" spans="1:8" x14ac:dyDescent="0.25">
      <c r="B25" t="s">
        <v>1</v>
      </c>
    </row>
    <row r="26" spans="1:8" x14ac:dyDescent="0.25">
      <c r="C26" t="s">
        <v>13</v>
      </c>
      <c r="G26" s="7">
        <f>(7830+17049+5699+20354)/(166306+201184+196894+159944)</f>
        <v>7.031621033564904E-2</v>
      </c>
    </row>
    <row r="27" spans="1:8" x14ac:dyDescent="0.25">
      <c r="C27" t="s">
        <v>14</v>
      </c>
    </row>
  </sheetData>
  <phoneticPr fontId="7" type="noConversion"/>
  <pageMargins left="0.7" right="0.7" top="0.75" bottom="0.75" header="0.3" footer="0.3"/>
  <pageSetup orientation="portrait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zoomScale="142" zoomScaleNormal="142" workbookViewId="0">
      <selection activeCell="P14" sqref="P14"/>
    </sheetView>
  </sheetViews>
  <sheetFormatPr defaultColWidth="8.85546875" defaultRowHeight="15" x14ac:dyDescent="0.25"/>
  <sheetData>
    <row r="3" spans="1:3" x14ac:dyDescent="0.25">
      <c r="B3" t="s">
        <v>7</v>
      </c>
      <c r="C3" t="s">
        <v>8</v>
      </c>
    </row>
    <row r="4" spans="1:3" x14ac:dyDescent="0.25">
      <c r="A4" t="s">
        <v>1</v>
      </c>
      <c r="B4" s="8">
        <v>0.10266984251128729</v>
      </c>
      <c r="C4" s="8">
        <v>3.8601443984748927E-2</v>
      </c>
    </row>
    <row r="5" spans="1:3" x14ac:dyDescent="0.25">
      <c r="A5" t="s">
        <v>27</v>
      </c>
      <c r="B5" s="8">
        <v>0.11028161028161028</v>
      </c>
      <c r="C5" s="8">
        <v>4.049983934593275E-2</v>
      </c>
    </row>
    <row r="6" spans="1:3" x14ac:dyDescent="0.25">
      <c r="A6" t="s">
        <v>3</v>
      </c>
      <c r="B6" s="8">
        <v>0.11678620119868204</v>
      </c>
      <c r="C6" s="8">
        <v>5.1154263821170096E-2</v>
      </c>
    </row>
    <row r="7" spans="1:3" x14ac:dyDescent="0.25">
      <c r="A7" t="s">
        <v>4</v>
      </c>
      <c r="B7" s="8">
        <v>0.13892391590885914</v>
      </c>
      <c r="C7" s="8">
        <v>5.7821364293166512E-2</v>
      </c>
    </row>
    <row r="8" spans="1:3" x14ac:dyDescent="0.25">
      <c r="B8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MOE</vt:lpstr>
      <vt:lpstr>Disproportionality</vt:lpstr>
      <vt:lpstr>Sheet3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2012-07-02T16:59:26Z</dcterms:created>
  <dcterms:modified xsi:type="dcterms:W3CDTF">2017-05-02T18:13:13Z</dcterms:modified>
</cp:coreProperties>
</file>