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Arrest Disproportionality\For Web\"/>
    </mc:Choice>
  </mc:AlternateContent>
  <bookViews>
    <workbookView xWindow="0" yWindow="0" windowWidth="29076" windowHeight="16476"/>
  </bookViews>
  <sheets>
    <sheet name="Educational Attainment" sheetId="6" r:id="rId1"/>
  </sheets>
  <calcPr calcId="152511"/>
</workbook>
</file>

<file path=xl/calcChain.xml><?xml version="1.0" encoding="utf-8"?>
<calcChain xmlns="http://schemas.openxmlformats.org/spreadsheetml/2006/main">
  <c r="I222" i="6" l="1"/>
  <c r="G222" i="6"/>
  <c r="E222" i="6"/>
  <c r="C222" i="6"/>
  <c r="L210" i="6" l="1"/>
  <c r="L209" i="6"/>
  <c r="L208" i="6"/>
  <c r="D208" i="6"/>
  <c r="L207" i="6"/>
  <c r="D196" i="6"/>
  <c r="J195" i="6"/>
  <c r="F209" i="6" s="1"/>
  <c r="H195" i="6"/>
  <c r="G195" i="6"/>
  <c r="D195" i="6"/>
  <c r="D209" i="6" s="1"/>
  <c r="H194" i="6"/>
  <c r="G194" i="6"/>
  <c r="C208" i="6" s="1"/>
  <c r="D194" i="6"/>
  <c r="H193" i="6"/>
  <c r="D207" i="6" s="1"/>
  <c r="D193" i="6"/>
  <c r="J185" i="6"/>
  <c r="J196" i="6" s="1"/>
  <c r="F210" i="6" s="1"/>
  <c r="H185" i="6"/>
  <c r="I196" i="6" s="1"/>
  <c r="E210" i="6" s="1"/>
  <c r="F185" i="6"/>
  <c r="H196" i="6" s="1"/>
  <c r="D210" i="6" s="1"/>
  <c r="D185" i="6"/>
  <c r="G196" i="6" s="1"/>
  <c r="C210" i="6" s="1"/>
  <c r="J184" i="6"/>
  <c r="H184" i="6"/>
  <c r="I195" i="6" s="1"/>
  <c r="E209" i="6" s="1"/>
  <c r="F184" i="6"/>
  <c r="D184" i="6"/>
  <c r="J183" i="6"/>
  <c r="J194" i="6" s="1"/>
  <c r="F208" i="6" s="1"/>
  <c r="H183" i="6"/>
  <c r="I194" i="6" s="1"/>
  <c r="E208" i="6" s="1"/>
  <c r="F183" i="6"/>
  <c r="D183" i="6"/>
  <c r="J182" i="6"/>
  <c r="J193" i="6" s="1"/>
  <c r="F207" i="6" s="1"/>
  <c r="H182" i="6"/>
  <c r="I193" i="6" s="1"/>
  <c r="E207" i="6" s="1"/>
  <c r="F182" i="6"/>
  <c r="D182" i="6"/>
  <c r="G193" i="6" s="1"/>
  <c r="C207" i="6" s="1"/>
  <c r="C209" i="6" l="1"/>
  <c r="I228" i="6"/>
  <c r="J162" i="6"/>
  <c r="J161" i="6"/>
  <c r="F175" i="6" s="1"/>
  <c r="J160" i="6"/>
  <c r="J159" i="6"/>
  <c r="I162" i="6"/>
  <c r="I161" i="6"/>
  <c r="I160" i="6"/>
  <c r="I159" i="6"/>
  <c r="H162" i="6"/>
  <c r="H161" i="6"/>
  <c r="H160" i="6"/>
  <c r="H159" i="6"/>
  <c r="G162" i="6"/>
  <c r="G161" i="6"/>
  <c r="G160" i="6"/>
  <c r="G159" i="6"/>
  <c r="D217" i="6"/>
  <c r="G228" i="6" s="1"/>
  <c r="F217" i="6"/>
  <c r="H228" i="6" s="1"/>
  <c r="H217" i="6"/>
  <c r="E176" i="6"/>
  <c r="D176" i="6"/>
  <c r="L175" i="6"/>
  <c r="E175" i="6"/>
  <c r="L174" i="6"/>
  <c r="F174" i="6"/>
  <c r="L173" i="6"/>
  <c r="D162" i="6"/>
  <c r="C176" i="6" s="1"/>
  <c r="D161" i="6"/>
  <c r="D160" i="6"/>
  <c r="D159" i="6"/>
  <c r="F173" i="6" s="1"/>
  <c r="C159" i="6"/>
  <c r="I151" i="6"/>
  <c r="L176" i="6" s="1"/>
  <c r="H151" i="6"/>
  <c r="G151" i="6"/>
  <c r="E151" i="6"/>
  <c r="F151" i="6" s="1"/>
  <c r="D151" i="6"/>
  <c r="C151" i="6"/>
  <c r="J150" i="6"/>
  <c r="H150" i="6"/>
  <c r="F150" i="6"/>
  <c r="D150" i="6"/>
  <c r="J149" i="6"/>
  <c r="H149" i="6"/>
  <c r="F149" i="6"/>
  <c r="D149" i="6"/>
  <c r="I148" i="6"/>
  <c r="J148" i="6" s="1"/>
  <c r="H148" i="6"/>
  <c r="G148" i="6"/>
  <c r="E148" i="6"/>
  <c r="F148" i="6" s="1"/>
  <c r="D148" i="6"/>
  <c r="C148" i="6"/>
  <c r="E174" i="6" l="1"/>
  <c r="D175" i="6"/>
  <c r="C174" i="6"/>
  <c r="F176" i="6"/>
  <c r="C173" i="6"/>
  <c r="D173" i="6"/>
  <c r="J151" i="6"/>
  <c r="E173" i="6"/>
  <c r="D174" i="6"/>
  <c r="C175" i="6"/>
  <c r="L242" i="6"/>
  <c r="H220" i="6"/>
  <c r="I231" i="6" s="1"/>
  <c r="H219" i="6"/>
  <c r="I230" i="6" s="1"/>
  <c r="E244" i="6" s="1"/>
  <c r="H218" i="6"/>
  <c r="I229" i="6" s="1"/>
  <c r="F220" i="6"/>
  <c r="H231" i="6" s="1"/>
  <c r="F219" i="6"/>
  <c r="H230" i="6" s="1"/>
  <c r="D244" i="6" s="1"/>
  <c r="F218" i="6"/>
  <c r="H229" i="6" s="1"/>
  <c r="D220" i="6"/>
  <c r="G231" i="6" s="1"/>
  <c r="D219" i="6"/>
  <c r="G230" i="6" s="1"/>
  <c r="D218" i="6"/>
  <c r="G229" i="6" s="1"/>
  <c r="D231" i="6"/>
  <c r="D245" i="6" s="1"/>
  <c r="D230" i="6"/>
  <c r="D229" i="6"/>
  <c r="D243" i="6" s="1"/>
  <c r="D228" i="6"/>
  <c r="F242" i="6" s="1"/>
  <c r="C242" i="6"/>
  <c r="J220" i="6"/>
  <c r="J231" i="6" s="1"/>
  <c r="J219" i="6"/>
  <c r="J230" i="6" s="1"/>
  <c r="J218" i="6"/>
  <c r="J229" i="6" s="1"/>
  <c r="J217" i="6"/>
  <c r="J228" i="6" s="1"/>
  <c r="D139" i="6"/>
  <c r="L244" i="6"/>
  <c r="L243" i="6"/>
  <c r="L245" i="6"/>
  <c r="F142" i="6"/>
  <c r="D125" i="6"/>
  <c r="F139" i="6"/>
  <c r="J116" i="6"/>
  <c r="F114" i="6"/>
  <c r="D115" i="6"/>
  <c r="J115" i="6"/>
  <c r="H115" i="6"/>
  <c r="H116" i="6"/>
  <c r="H117" i="6"/>
  <c r="H114" i="6"/>
  <c r="F117" i="6"/>
  <c r="D114" i="6"/>
  <c r="J114" i="6"/>
  <c r="J117" i="6"/>
  <c r="F116" i="6"/>
  <c r="F115" i="6"/>
  <c r="D117" i="6"/>
  <c r="D116" i="6"/>
  <c r="I82" i="6"/>
  <c r="J77" i="6"/>
  <c r="G82" i="6"/>
  <c r="H80" i="6"/>
  <c r="E82" i="6"/>
  <c r="C82" i="6"/>
  <c r="D78" i="6"/>
  <c r="D77" i="6"/>
  <c r="I77" i="6"/>
  <c r="G77" i="6"/>
  <c r="H77" i="6"/>
  <c r="E77" i="6"/>
  <c r="F77" i="6"/>
  <c r="C77" i="6"/>
  <c r="I78" i="6"/>
  <c r="J78" i="6"/>
  <c r="G78" i="6"/>
  <c r="H78" i="6"/>
  <c r="E78" i="6"/>
  <c r="F78" i="6"/>
  <c r="C78" i="6"/>
  <c r="I80" i="6"/>
  <c r="J80" i="6"/>
  <c r="G80" i="6"/>
  <c r="E80" i="6"/>
  <c r="F80" i="6"/>
  <c r="C80" i="6"/>
  <c r="I79" i="6"/>
  <c r="J79" i="6"/>
  <c r="G79" i="6"/>
  <c r="E79" i="6"/>
  <c r="C79" i="6"/>
  <c r="D79" i="6"/>
  <c r="C90" i="6"/>
  <c r="D90" i="6"/>
  <c r="F104" i="6"/>
  <c r="E104" i="6"/>
  <c r="C91" i="6"/>
  <c r="C88" i="6"/>
  <c r="D88" i="6"/>
  <c r="C89" i="6"/>
  <c r="D89" i="6"/>
  <c r="F103" i="6"/>
  <c r="C93" i="6"/>
  <c r="D126" i="6"/>
  <c r="F140" i="6"/>
  <c r="E140" i="6"/>
  <c r="C29" i="6"/>
  <c r="D29" i="6"/>
  <c r="E29" i="6"/>
  <c r="G29" i="6"/>
  <c r="H29" i="6"/>
  <c r="I29" i="6"/>
  <c r="C30" i="6"/>
  <c r="E30" i="6"/>
  <c r="F30" i="6"/>
  <c r="G30" i="6"/>
  <c r="I30" i="6"/>
  <c r="C31" i="6"/>
  <c r="D31" i="6"/>
  <c r="E31" i="6"/>
  <c r="F31" i="6"/>
  <c r="G31" i="6"/>
  <c r="H31" i="6"/>
  <c r="I31" i="6"/>
  <c r="J31" i="6"/>
  <c r="C32" i="6"/>
  <c r="E32" i="6"/>
  <c r="G32" i="6"/>
  <c r="H32" i="6"/>
  <c r="I32" i="6"/>
  <c r="C33" i="6"/>
  <c r="D33" i="6"/>
  <c r="E33" i="6"/>
  <c r="G33" i="6"/>
  <c r="H33" i="6"/>
  <c r="I33" i="6"/>
  <c r="J33" i="6"/>
  <c r="C34" i="6"/>
  <c r="E34" i="6"/>
  <c r="G34" i="6"/>
  <c r="H34" i="6"/>
  <c r="I34" i="6"/>
  <c r="C35" i="6"/>
  <c r="D35" i="6"/>
  <c r="E35" i="6"/>
  <c r="G35" i="6"/>
  <c r="H35" i="6"/>
  <c r="I35" i="6"/>
  <c r="J35" i="6"/>
  <c r="C37" i="6"/>
  <c r="E37" i="6"/>
  <c r="F35" i="6"/>
  <c r="F29" i="6"/>
  <c r="G37" i="6"/>
  <c r="H30" i="6"/>
  <c r="I37" i="6"/>
  <c r="J32" i="6"/>
  <c r="J29" i="6"/>
  <c r="C43" i="6"/>
  <c r="D43" i="6"/>
  <c r="C44" i="6"/>
  <c r="D44" i="6"/>
  <c r="C45" i="6"/>
  <c r="D45" i="6"/>
  <c r="C47" i="6"/>
  <c r="D47" i="6"/>
  <c r="C48" i="6"/>
  <c r="D48" i="6"/>
  <c r="C49" i="6"/>
  <c r="D49" i="6"/>
  <c r="C51" i="6"/>
  <c r="D46" i="6"/>
  <c r="F79" i="6"/>
  <c r="F33" i="6"/>
  <c r="C140" i="6"/>
  <c r="D140" i="6"/>
  <c r="C104" i="6"/>
  <c r="D104" i="6"/>
  <c r="D32" i="6"/>
  <c r="D128" i="6"/>
  <c r="C142" i="6"/>
  <c r="E139" i="6"/>
  <c r="E142" i="6"/>
  <c r="J30" i="6"/>
  <c r="D30" i="6"/>
  <c r="D34" i="6"/>
  <c r="C139" i="6"/>
  <c r="C102" i="6"/>
  <c r="F102" i="6"/>
  <c r="D102" i="6"/>
  <c r="E102" i="6"/>
  <c r="E242" i="6"/>
  <c r="E103" i="6"/>
  <c r="C103" i="6"/>
  <c r="F32" i="6"/>
  <c r="F34" i="6"/>
  <c r="J34" i="6"/>
  <c r="D91" i="6"/>
  <c r="H79" i="6"/>
  <c r="D80" i="6"/>
  <c r="D127" i="6"/>
  <c r="F244" i="6"/>
  <c r="C244" i="6"/>
  <c r="D142" i="6"/>
  <c r="D103" i="6"/>
  <c r="C141" i="6"/>
  <c r="F141" i="6"/>
  <c r="E141" i="6"/>
  <c r="D141" i="6"/>
  <c r="C105" i="6"/>
  <c r="F105" i="6"/>
  <c r="E105" i="6"/>
  <c r="D105" i="6"/>
  <c r="D242" i="6"/>
  <c r="F245" i="6" l="1"/>
  <c r="C245" i="6"/>
  <c r="F243" i="6"/>
  <c r="E245" i="6"/>
  <c r="E243" i="6"/>
  <c r="C243" i="6"/>
</calcChain>
</file>

<file path=xl/sharedStrings.xml><?xml version="1.0" encoding="utf-8"?>
<sst xmlns="http://schemas.openxmlformats.org/spreadsheetml/2006/main" count="363" uniqueCount="57">
  <si>
    <t>African American Data from Table C15002B</t>
    <phoneticPr fontId="3" type="noConversion"/>
  </si>
  <si>
    <t>Native American Data from Table C15002C</t>
    <phoneticPr fontId="3" type="noConversion"/>
  </si>
  <si>
    <t>Asian Data from Table C15002D</t>
    <phoneticPr fontId="3" type="noConversion"/>
  </si>
  <si>
    <t>Some Other Race</t>
    <phoneticPr fontId="3" type="noConversion"/>
  </si>
  <si>
    <t>Some Other Race Data from Table C15002F</t>
    <phoneticPr fontId="3" type="noConversion"/>
  </si>
  <si>
    <t>Two or More Races Data from Table C15002G</t>
    <phoneticPr fontId="3" type="noConversion"/>
  </si>
  <si>
    <t># 25 and over</t>
    <phoneticPr fontId="3" type="noConversion"/>
  </si>
  <si>
    <t>%25 and over</t>
    <phoneticPr fontId="3" type="noConversion"/>
  </si>
  <si>
    <t>Total Population Data from Table DP05, B01001B, B01001C, B01001D, B01001F, B01001G, B01001H, B01001I</t>
    <phoneticPr fontId="3" type="noConversion"/>
  </si>
  <si>
    <t>Disproportionality Ratio - Educational Attainment in 2012</t>
    <phoneticPr fontId="3" type="noConversion"/>
  </si>
  <si>
    <t>% Less than a HS Diploma</t>
    <phoneticPr fontId="3" type="noConversion"/>
  </si>
  <si>
    <t># Less than a HS Diploma</t>
    <phoneticPr fontId="3" type="noConversion"/>
  </si>
  <si>
    <t># HS Graduate (or Equivalent)</t>
    <phoneticPr fontId="3" type="noConversion"/>
  </si>
  <si>
    <t>% HS Graduate (or Equivalent)</t>
    <phoneticPr fontId="3" type="noConversion"/>
  </si>
  <si>
    <t># Some College or Associate's Degree</t>
    <phoneticPr fontId="3" type="noConversion"/>
  </si>
  <si>
    <t>Total</t>
    <phoneticPr fontId="3" type="noConversion"/>
  </si>
  <si>
    <t>Total</t>
    <phoneticPr fontId="3" type="noConversion"/>
  </si>
  <si>
    <t>% Some College or Associate's Degree</t>
    <phoneticPr fontId="3" type="noConversion"/>
  </si>
  <si>
    <t># Bachelor's Degree or Higher</t>
    <phoneticPr fontId="3" type="noConversion"/>
  </si>
  <si>
    <t>% Bachelor's Degree or Higher</t>
    <phoneticPr fontId="3" type="noConversion"/>
  </si>
  <si>
    <t>Hispanic</t>
  </si>
  <si>
    <t>White</t>
  </si>
  <si>
    <t>Native American</t>
  </si>
  <si>
    <t>Asian</t>
  </si>
  <si>
    <t>Two or More Races</t>
  </si>
  <si>
    <t>Travis County</t>
  </si>
  <si>
    <t>Disproportionality Ratio - Educational Attainment in 2011</t>
  </si>
  <si>
    <t>Less than a HS Diploma</t>
  </si>
  <si>
    <t>HS Graduate (or Equivalent)</t>
  </si>
  <si>
    <t>Some College or Associate's Degree</t>
  </si>
  <si>
    <t>Bachelor's Degree or Higher</t>
  </si>
  <si>
    <t>Texas</t>
  </si>
  <si>
    <t>Black</t>
  </si>
  <si>
    <t>Disproportionality Ratio - Educational Attainment in 2012</t>
  </si>
  <si>
    <t>Disproportionality Ratio - Educational Attainment in 2013</t>
  </si>
  <si>
    <t>Total Population Data from Table DP05, B01001B, B01001C, B01001D, B01001F, B01001G, B01001H, B01001I</t>
  </si>
  <si>
    <t>Total by Educational Attainment from Table DP02</t>
  </si>
  <si>
    <t>% Less than a HS Diploma</t>
  </si>
  <si>
    <t>% HS Graduate (or Equivalent)</t>
  </si>
  <si>
    <t>% Some College or Associate's Degree</t>
  </si>
  <si>
    <t>% Bachelor's Degree or Higher</t>
  </si>
  <si>
    <t>Disproportionality Ratio - Educational Attainment in 2014</t>
  </si>
  <si>
    <t>Disproportionality Ratio - Educational Attainment in 2015</t>
  </si>
  <si>
    <t>White Data from Table C15002H</t>
  </si>
  <si>
    <t>Total Population Data from Table DP05</t>
  </si>
  <si>
    <t>Hispanic Data from Table C15002I</t>
  </si>
  <si>
    <t>B01001B</t>
  </si>
  <si>
    <t>B01001I</t>
  </si>
  <si>
    <t>B01001H</t>
  </si>
  <si>
    <t>Asian Data from Table C15002D</t>
  </si>
  <si>
    <t>Data Source</t>
  </si>
  <si>
    <t>B01001D</t>
  </si>
  <si>
    <t>Black Data from Table C15002B</t>
  </si>
  <si>
    <t>American Community Survey, 1-Year Estimates</t>
  </si>
  <si>
    <t>Total Educational Attainment from Table DP02</t>
  </si>
  <si>
    <t>Disproportionality Ratio - Educational Attainment in 2016</t>
  </si>
  <si>
    <t>Disproportionality Ratio - Educational Attainment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</si>
</sst>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164" fontId="2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10" fontId="7" fillId="0" borderId="0" xfId="0" applyNumberFormat="1" applyFont="1"/>
    <xf numFmtId="0" fontId="5" fillId="0" borderId="0" xfId="0" applyFont="1" applyAlignment="1">
      <alignment wrapText="1"/>
    </xf>
    <xf numFmtId="165" fontId="2" fillId="0" borderId="0" xfId="1" applyNumberFormat="1" applyFont="1"/>
    <xf numFmtId="165" fontId="7" fillId="0" borderId="0" xfId="1" applyNumberFormat="1" applyFont="1"/>
    <xf numFmtId="165" fontId="7" fillId="0" borderId="0" xfId="0" applyNumberFormat="1" applyFont="1"/>
    <xf numFmtId="9" fontId="7" fillId="0" borderId="0" xfId="2" applyFont="1"/>
    <xf numFmtId="0" fontId="8" fillId="0" borderId="0" xfId="0" applyFont="1"/>
    <xf numFmtId="165" fontId="9" fillId="0" borderId="0" xfId="1" applyNumberFormat="1" applyFont="1"/>
    <xf numFmtId="10" fontId="9" fillId="0" borderId="0" xfId="0" applyNumberFormat="1" applyFont="1"/>
    <xf numFmtId="0" fontId="9" fillId="0" borderId="0" xfId="0" applyFont="1"/>
    <xf numFmtId="164" fontId="7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Educational Attainment Levels in Travis County, 2017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Attainment'!$B$242</c:f>
              <c:strCache>
                <c:ptCount val="1"/>
                <c:pt idx="0">
                  <c:v>Asian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'Educational Attainment'!$C$241:$F$241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Attainment'!$C$242:$F$242</c:f>
              <c:numCache>
                <c:formatCode>0.0</c:formatCode>
                <c:ptCount val="4"/>
                <c:pt idx="0">
                  <c:v>0.6510535221792737</c:v>
                </c:pt>
                <c:pt idx="1">
                  <c:v>0.4562384067402836</c:v>
                </c:pt>
                <c:pt idx="2">
                  <c:v>0.55866238031483206</c:v>
                </c:pt>
                <c:pt idx="3">
                  <c:v>1.4706062354010989</c:v>
                </c:pt>
              </c:numCache>
            </c:numRef>
          </c:val>
        </c:ser>
        <c:ser>
          <c:idx val="1"/>
          <c:order val="1"/>
          <c:tx>
            <c:strRef>
              <c:f>'Educational Attainment'!$B$243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'Educational Attainment'!$C$241:$F$241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Attainment'!$C$243:$F$243</c:f>
              <c:numCache>
                <c:formatCode>0.0</c:formatCode>
                <c:ptCount val="4"/>
                <c:pt idx="0">
                  <c:v>1.0115785914978832</c:v>
                </c:pt>
                <c:pt idx="1">
                  <c:v>1.9282809107248913</c:v>
                </c:pt>
                <c:pt idx="2">
                  <c:v>1.2110938441999106</c:v>
                </c:pt>
                <c:pt idx="3">
                  <c:v>0.56052398217377153</c:v>
                </c:pt>
              </c:numCache>
            </c:numRef>
          </c:val>
        </c:ser>
        <c:ser>
          <c:idx val="2"/>
          <c:order val="2"/>
          <c:tx>
            <c:strRef>
              <c:f>'Educational Attainment'!$B$244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'Educational Attainment'!$C$241:$F$241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Attainment'!$C$244:$F$244</c:f>
              <c:numCache>
                <c:formatCode>0.0</c:formatCode>
                <c:ptCount val="4"/>
                <c:pt idx="0">
                  <c:v>2.4730601724960817</c:v>
                </c:pt>
                <c:pt idx="1">
                  <c:v>1.652188558897201</c:v>
                </c:pt>
                <c:pt idx="2">
                  <c:v>0.92034002399946901</c:v>
                </c:pt>
                <c:pt idx="3">
                  <c:v>0.50981088837851796</c:v>
                </c:pt>
              </c:numCache>
            </c:numRef>
          </c:val>
        </c:ser>
        <c:ser>
          <c:idx val="3"/>
          <c:order val="3"/>
          <c:tx>
            <c:strRef>
              <c:f>'Educational Attainment'!$B$245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'Educational Attainment'!$C$241:$F$241</c:f>
              <c:strCache>
                <c:ptCount val="4"/>
                <c:pt idx="0">
                  <c:v>Less than a HS Diploma</c:v>
                </c:pt>
                <c:pt idx="1">
                  <c:v>HS Graduate (or Equivalent)</c:v>
                </c:pt>
                <c:pt idx="2">
                  <c:v>Some College or Associate's Degree</c:v>
                </c:pt>
                <c:pt idx="3">
                  <c:v>Bachelor's Degree or Higher</c:v>
                </c:pt>
              </c:strCache>
            </c:strRef>
          </c:cat>
          <c:val>
            <c:numRef>
              <c:f>'Educational Attainment'!$C$245:$F$245</c:f>
              <c:numCache>
                <c:formatCode>0.0</c:formatCode>
                <c:ptCount val="4"/>
                <c:pt idx="0">
                  <c:v>0.28330275138816763</c:v>
                </c:pt>
                <c:pt idx="1">
                  <c:v>0.60813602407756462</c:v>
                </c:pt>
                <c:pt idx="2">
                  <c:v>1.0430948830914999</c:v>
                </c:pt>
                <c:pt idx="3">
                  <c:v>1.2639238806212383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2664"/>
        <c:axId val="163313048"/>
      </c:barChart>
      <c:catAx>
        <c:axId val="163312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13048"/>
        <c:crosses val="autoZero"/>
        <c:auto val="1"/>
        <c:lblAlgn val="ctr"/>
        <c:lblOffset val="100"/>
        <c:noMultiLvlLbl val="0"/>
      </c:catAx>
      <c:valAx>
        <c:axId val="163313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12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Percent Aged 25 &amp; Over with a Bachelor's Degree or Higher, Travis County, 2017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Attainment'!$L$241</c:f>
              <c:strCache>
                <c:ptCount val="1"/>
                <c:pt idx="0">
                  <c:v>% Bachelor's Degree or Higher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dPt>
          <c:cat>
            <c:strRef>
              <c:f>'Educational Attainment'!$K$242:$K$245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Attainment'!$L$242:$L$245</c:f>
              <c:numCache>
                <c:formatCode>0%</c:formatCode>
                <c:ptCount val="4"/>
                <c:pt idx="0">
                  <c:v>0.72726478553332752</c:v>
                </c:pt>
                <c:pt idx="1">
                  <c:v>0.27719816757795185</c:v>
                </c:pt>
                <c:pt idx="2">
                  <c:v>0.25211881839874928</c:v>
                </c:pt>
                <c:pt idx="3">
                  <c:v>0.62505333368163496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3330536"/>
        <c:axId val="163538056"/>
      </c:barChart>
      <c:catAx>
        <c:axId val="16333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538056"/>
        <c:crosses val="autoZero"/>
        <c:auto val="1"/>
        <c:lblAlgn val="ctr"/>
        <c:lblOffset val="100"/>
        <c:noMultiLvlLbl val="0"/>
      </c:catAx>
      <c:valAx>
        <c:axId val="163538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3330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Percent Aged 25 &amp; Over with a Bachelor's Degree or Higher, Travis County, 2016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'Educational Attainment'!$L$241</c:f>
              <c:strCache>
                <c:ptCount val="1"/>
                <c:pt idx="0">
                  <c:v>% Bachelor's Degree or Higher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dPt>
          <c:cat>
            <c:strRef>
              <c:f>'Educational Attainment'!$K$242:$K$245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</c:v>
                </c:pt>
              </c:strCache>
            </c:strRef>
          </c:cat>
          <c:val>
            <c:numRef>
              <c:f>'Educational Attainment'!$L$242:$L$245</c:f>
              <c:numCache>
                <c:formatCode>0%</c:formatCode>
                <c:ptCount val="4"/>
                <c:pt idx="0">
                  <c:v>0.72726478553332752</c:v>
                </c:pt>
                <c:pt idx="1">
                  <c:v>0.27719816757795185</c:v>
                </c:pt>
                <c:pt idx="2">
                  <c:v>0.25211881839874928</c:v>
                </c:pt>
                <c:pt idx="3">
                  <c:v>0.62505333368163496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16865248"/>
        <c:axId val="116865640"/>
      </c:barChart>
      <c:catAx>
        <c:axId val="1168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6865640"/>
        <c:crosses val="autoZero"/>
        <c:auto val="1"/>
        <c:lblAlgn val="ctr"/>
        <c:lblOffset val="100"/>
        <c:noMultiLvlLbl val="0"/>
      </c:catAx>
      <c:valAx>
        <c:axId val="116865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686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146760</xdr:colOff>
      <xdr:row>235</xdr:row>
      <xdr:rowOff>26158</xdr:rowOff>
    </xdr:from>
    <xdr:to>
      <xdr:col>16</xdr:col>
      <xdr:colOff>121360</xdr:colOff>
      <xdr:row>251</xdr:row>
      <xdr:rowOff>17418</xdr:rowOff>
    </xdr:to>
    <xdr:graphicFrame macro="">
      <xdr:nvGraphicFramePr>
        <xdr:cNvPr id="2472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457673</xdr:colOff>
      <xdr:row>235</xdr:row>
      <xdr:rowOff>15939</xdr:rowOff>
    </xdr:from>
    <xdr:to>
      <xdr:col>21</xdr:col>
      <xdr:colOff>6823</xdr:colOff>
      <xdr:row>251</xdr:row>
      <xdr:rowOff>24753</xdr:rowOff>
    </xdr:to>
    <xdr:graphicFrame macro="">
      <xdr:nvGraphicFramePr>
        <xdr:cNvPr id="2472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519430</xdr:colOff>
      <xdr:row>180</xdr:row>
      <xdr:rowOff>50800</xdr:rowOff>
    </xdr:from>
    <xdr:to>
      <xdr:col>29</xdr:col>
      <xdr:colOff>68580</xdr:colOff>
      <xdr:row>193</xdr:row>
      <xdr:rowOff>43180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0.10374</cdr:x>
      <cdr:y>0.49025</cdr:y>
    </cdr:from>
    <cdr:to>
      <cdr:x>0.96257</cdr:x>
      <cdr:y>0.49062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55770" y="1312285"/>
          <a:ext cx="2945183" cy="97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0.26903</cdr:x>
      <cdr:y>0.39566</cdr:y>
    </cdr:from>
    <cdr:to>
      <cdr:x>0.2694</cdr:x>
      <cdr:y>0.49083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 flipV="1">
          <a:off x="955961" y="963658"/>
          <a:ext cx="1327" cy="23179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solid"/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0.0994</cdr:x>
      <cdr:y>0.3897</cdr:y>
    </cdr:from>
    <cdr:to>
      <cdr:x>0.95487</cdr:x>
      <cdr:y>0.39015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353224" y="949149"/>
          <a:ext cx="3039835" cy="109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0.26275</cdr:x>
      <cdr:y>0.40448</cdr:y>
    </cdr:from>
    <cdr:to>
      <cdr:x>0.77938</cdr:x>
      <cdr:y>0.48969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900503" y="1075169"/>
          <a:ext cx="1770610" cy="226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Moderate Disproportion</a:t>
          </a:r>
        </a:p>
      </cdr:txBody>
    </cdr:sp>
  </cdr:relSizeAnchor>
  <cdr:relSizeAnchor xmlns:cdr="http://schemas.openxmlformats.org/drawingml/2006/chartDrawing">
    <cdr:from>
      <cdr:x>0.26903</cdr:x>
      <cdr:y>0.32436</cdr:y>
    </cdr:from>
    <cdr:to>
      <cdr:x>0.26918</cdr:x>
      <cdr:y>0.38183</cdr:y>
    </cdr:to>
    <cdr:cxnSp macro="">
      <cdr:nvCxnSpPr>
        <cdr:cNvPr id="13" name="Straight Arrow Connector 12"/>
        <cdr:cNvCxnSpPr/>
      </cdr:nvCxnSpPr>
      <cdr:spPr>
        <a:xfrm xmlns:a="http://schemas.openxmlformats.org/drawingml/2006/main" flipH="1" flipV="1">
          <a:off x="955961" y="790005"/>
          <a:ext cx="546" cy="139977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prstDash val="solid"/>
          <a:headEnd type="non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0.26051</cdr:x>
      <cdr:y>0.31256</cdr:y>
    </cdr:from>
    <cdr:to>
      <cdr:x>0.77714</cdr:x>
      <cdr:y>0.38829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925699" y="761257"/>
          <a:ext cx="1835797" cy="184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Tw Cen MT" panose="020B0602020104020603" pitchFamily="34" charset="0"/>
            </a:rPr>
            <a:t>High Disproportion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tabSelected="1" topLeftCell="A211" zoomScale="90" zoomScaleNormal="90" workbookViewId="0">
      <selection activeCell="S219" sqref="S219"/>
    </sheetView>
  </sheetViews>
  <sheetFormatPr defaultColWidth="8.88671875" defaultRowHeight="10.199999999999999" x14ac:dyDescent="0.2"/>
  <cols>
    <col min="1" max="1" width="12.33203125" style="3" customWidth="1"/>
    <col min="2" max="2" width="18.44140625" style="3" customWidth="1"/>
    <col min="3" max="3" width="10.44140625" style="3" customWidth="1"/>
    <col min="4" max="5" width="10.109375" style="3" customWidth="1"/>
    <col min="6" max="7" width="10.33203125" style="3" customWidth="1"/>
    <col min="8" max="10" width="8.88671875" style="3"/>
    <col min="11" max="11" width="15.5546875" style="3" customWidth="1"/>
    <col min="12" max="12" width="8.88671875" style="3"/>
    <col min="13" max="13" width="25.5546875" style="3" customWidth="1"/>
    <col min="14" max="16384" width="8.88671875" style="3"/>
  </cols>
  <sheetData>
    <row r="1" spans="1:7" x14ac:dyDescent="0.2">
      <c r="A1" s="1" t="s">
        <v>26</v>
      </c>
      <c r="B1" s="2"/>
      <c r="C1" s="2"/>
      <c r="D1" s="2"/>
      <c r="E1" s="2"/>
      <c r="F1" s="2"/>
      <c r="G1" s="2"/>
    </row>
    <row r="2" spans="1:7" x14ac:dyDescent="0.2">
      <c r="A2" s="4" t="s">
        <v>25</v>
      </c>
      <c r="B2" s="2"/>
      <c r="C2" s="2"/>
      <c r="D2" s="2"/>
      <c r="E2" s="2"/>
      <c r="F2" s="2"/>
      <c r="G2" s="2"/>
    </row>
    <row r="3" spans="1:7" s="7" customFormat="1" ht="40.799999999999997" x14ac:dyDescent="0.2">
      <c r="A3" s="5"/>
      <c r="B3" s="5"/>
      <c r="C3" s="6" t="s">
        <v>27</v>
      </c>
      <c r="D3" s="6" t="s">
        <v>28</v>
      </c>
      <c r="E3" s="6" t="s">
        <v>29</v>
      </c>
      <c r="F3" s="6" t="s">
        <v>30</v>
      </c>
      <c r="G3" s="6"/>
    </row>
    <row r="4" spans="1:7" x14ac:dyDescent="0.2">
      <c r="A4" s="2"/>
      <c r="B4" s="8" t="s">
        <v>20</v>
      </c>
      <c r="C4" s="9">
        <v>2.8</v>
      </c>
      <c r="D4" s="9">
        <v>1.5</v>
      </c>
      <c r="E4" s="9">
        <v>0.9</v>
      </c>
      <c r="F4" s="9">
        <v>0.4</v>
      </c>
      <c r="G4" s="10"/>
    </row>
    <row r="5" spans="1:7" x14ac:dyDescent="0.2">
      <c r="A5" s="2"/>
      <c r="B5" s="8" t="s">
        <v>21</v>
      </c>
      <c r="C5" s="9">
        <v>0.2</v>
      </c>
      <c r="D5" s="9">
        <v>0.7</v>
      </c>
      <c r="E5" s="9">
        <v>1</v>
      </c>
      <c r="F5" s="9">
        <v>1.3</v>
      </c>
      <c r="G5" s="10"/>
    </row>
    <row r="6" spans="1:7" x14ac:dyDescent="0.2">
      <c r="A6" s="2"/>
      <c r="B6" s="8" t="s">
        <v>32</v>
      </c>
      <c r="C6" s="9">
        <v>0.8</v>
      </c>
      <c r="D6" s="9">
        <v>1.6</v>
      </c>
      <c r="E6" s="9">
        <v>1.5</v>
      </c>
      <c r="F6" s="9">
        <v>0.5</v>
      </c>
      <c r="G6" s="10"/>
    </row>
    <row r="7" spans="1:7" x14ac:dyDescent="0.2">
      <c r="A7" s="2"/>
      <c r="B7" s="8" t="s">
        <v>22</v>
      </c>
      <c r="C7" s="9">
        <v>1</v>
      </c>
      <c r="D7" s="9">
        <v>1</v>
      </c>
      <c r="E7" s="9">
        <v>1</v>
      </c>
      <c r="F7" s="9">
        <v>0</v>
      </c>
      <c r="G7" s="10"/>
    </row>
    <row r="8" spans="1:7" x14ac:dyDescent="0.2">
      <c r="A8" s="2"/>
      <c r="B8" s="8" t="s">
        <v>23</v>
      </c>
      <c r="C8" s="9">
        <v>0.8</v>
      </c>
      <c r="D8" s="9">
        <v>0.8</v>
      </c>
      <c r="E8" s="9">
        <v>0.6</v>
      </c>
      <c r="F8" s="9">
        <v>1.6</v>
      </c>
      <c r="G8" s="10"/>
    </row>
    <row r="9" spans="1:7" x14ac:dyDescent="0.2">
      <c r="B9" s="8" t="s">
        <v>24</v>
      </c>
      <c r="C9" s="9">
        <v>0</v>
      </c>
      <c r="D9" s="9">
        <v>1</v>
      </c>
      <c r="E9" s="9">
        <v>1.5</v>
      </c>
      <c r="F9" s="9">
        <v>1</v>
      </c>
    </row>
    <row r="11" spans="1:7" x14ac:dyDescent="0.2">
      <c r="A11" s="1" t="s">
        <v>26</v>
      </c>
      <c r="B11" s="2"/>
      <c r="C11" s="2"/>
      <c r="D11" s="2"/>
      <c r="E11" s="2"/>
      <c r="F11" s="2"/>
      <c r="G11" s="2"/>
    </row>
    <row r="12" spans="1:7" x14ac:dyDescent="0.2">
      <c r="A12" s="4" t="s">
        <v>31</v>
      </c>
      <c r="B12" s="2"/>
      <c r="C12" s="2"/>
      <c r="D12" s="2"/>
      <c r="E12" s="2"/>
      <c r="F12" s="2"/>
      <c r="G12" s="2"/>
    </row>
    <row r="13" spans="1:7" ht="40.799999999999997" x14ac:dyDescent="0.2">
      <c r="A13" s="5"/>
      <c r="B13" s="5"/>
      <c r="C13" s="6" t="s">
        <v>27</v>
      </c>
      <c r="D13" s="6" t="s">
        <v>28</v>
      </c>
      <c r="E13" s="6" t="s">
        <v>29</v>
      </c>
      <c r="F13" s="6" t="s">
        <v>30</v>
      </c>
      <c r="G13" s="6"/>
    </row>
    <row r="14" spans="1:7" x14ac:dyDescent="0.2">
      <c r="A14" s="2"/>
      <c r="B14" s="8" t="s">
        <v>20</v>
      </c>
      <c r="C14" s="9">
        <v>2.1</v>
      </c>
      <c r="D14" s="9">
        <v>1</v>
      </c>
      <c r="E14" s="9">
        <v>0.8</v>
      </c>
      <c r="F14" s="9">
        <v>0.5</v>
      </c>
      <c r="G14" s="10"/>
    </row>
    <row r="15" spans="1:7" x14ac:dyDescent="0.2">
      <c r="A15" s="2"/>
      <c r="B15" s="8" t="s">
        <v>21</v>
      </c>
      <c r="C15" s="9">
        <v>0.4</v>
      </c>
      <c r="D15" s="9">
        <v>1</v>
      </c>
      <c r="E15" s="9">
        <v>1.1000000000000001</v>
      </c>
      <c r="F15" s="9">
        <v>1.3</v>
      </c>
      <c r="G15" s="10"/>
    </row>
    <row r="16" spans="1:7" x14ac:dyDescent="0.2">
      <c r="A16" s="2"/>
      <c r="B16" s="8" t="s">
        <v>32</v>
      </c>
      <c r="C16" s="9">
        <v>0.7</v>
      </c>
      <c r="D16" s="9">
        <v>1.2</v>
      </c>
      <c r="E16" s="9">
        <v>1.3</v>
      </c>
      <c r="F16" s="9">
        <v>0.8</v>
      </c>
      <c r="G16" s="10"/>
    </row>
    <row r="17" spans="1:13" x14ac:dyDescent="0.2">
      <c r="A17" s="2"/>
      <c r="B17" s="8" t="s">
        <v>22</v>
      </c>
      <c r="C17" s="9">
        <v>2</v>
      </c>
      <c r="D17" s="9">
        <v>1</v>
      </c>
      <c r="E17" s="9">
        <v>2</v>
      </c>
      <c r="F17" s="9">
        <v>1</v>
      </c>
      <c r="G17" s="10"/>
    </row>
    <row r="18" spans="1:13" x14ac:dyDescent="0.2">
      <c r="A18" s="2"/>
      <c r="B18" s="8" t="s">
        <v>23</v>
      </c>
      <c r="C18" s="9">
        <v>0.8</v>
      </c>
      <c r="D18" s="9">
        <v>0.5</v>
      </c>
      <c r="E18" s="9">
        <v>0.8</v>
      </c>
      <c r="F18" s="9">
        <v>2</v>
      </c>
      <c r="G18" s="10"/>
    </row>
    <row r="19" spans="1:13" x14ac:dyDescent="0.2">
      <c r="B19" s="8" t="s">
        <v>24</v>
      </c>
      <c r="C19" s="9">
        <v>0.5</v>
      </c>
      <c r="D19" s="9">
        <v>0.5</v>
      </c>
      <c r="E19" s="9">
        <v>1</v>
      </c>
      <c r="F19" s="9">
        <v>1</v>
      </c>
    </row>
    <row r="26" spans="1:13" x14ac:dyDescent="0.2">
      <c r="A26" s="1" t="s">
        <v>33</v>
      </c>
      <c r="B26" s="2"/>
      <c r="C26" s="2"/>
      <c r="D26" s="2"/>
      <c r="E26" s="2"/>
      <c r="F26" s="2"/>
    </row>
    <row r="27" spans="1:13" x14ac:dyDescent="0.2">
      <c r="A27" s="4" t="s">
        <v>25</v>
      </c>
      <c r="B27" s="2"/>
      <c r="C27" s="2"/>
      <c r="D27" s="2"/>
      <c r="E27" s="2"/>
      <c r="F27" s="2"/>
    </row>
    <row r="28" spans="1:13" ht="40.799999999999997" x14ac:dyDescent="0.2">
      <c r="A28" s="5"/>
      <c r="B28" s="5"/>
      <c r="C28" s="6" t="s">
        <v>11</v>
      </c>
      <c r="D28" s="6" t="s">
        <v>10</v>
      </c>
      <c r="E28" s="6" t="s">
        <v>12</v>
      </c>
      <c r="F28" s="6" t="s">
        <v>13</v>
      </c>
      <c r="G28" s="6" t="s">
        <v>14</v>
      </c>
      <c r="H28" s="6" t="s">
        <v>17</v>
      </c>
      <c r="I28" s="6" t="s">
        <v>18</v>
      </c>
      <c r="J28" s="6" t="s">
        <v>19</v>
      </c>
      <c r="M28" s="3" t="s">
        <v>8</v>
      </c>
    </row>
    <row r="29" spans="1:13" x14ac:dyDescent="0.2">
      <c r="A29" s="2"/>
      <c r="B29" s="8" t="s">
        <v>20</v>
      </c>
      <c r="C29" s="9">
        <f>21828+18645+17646+14942</f>
        <v>73061</v>
      </c>
      <c r="D29" s="11">
        <f>C29/$C$37</f>
        <v>0.77782391142340035</v>
      </c>
      <c r="E29" s="9">
        <f>22229+4136+18047+4187</f>
        <v>48599</v>
      </c>
      <c r="F29" s="11">
        <f>E29/$E$37</f>
        <v>0.40536663080015684</v>
      </c>
      <c r="G29" s="9">
        <f>15143+3639+16448+4927</f>
        <v>40157</v>
      </c>
      <c r="H29" s="11">
        <f>G29/$G$37</f>
        <v>0.22394418822532164</v>
      </c>
      <c r="I29" s="9">
        <f>11899+5175+14879+6039</f>
        <v>37992</v>
      </c>
      <c r="J29" s="12">
        <f>I29/$I$37</f>
        <v>0.11952243877117644</v>
      </c>
      <c r="M29" s="3" t="s">
        <v>45</v>
      </c>
    </row>
    <row r="30" spans="1:13" x14ac:dyDescent="0.2">
      <c r="A30" s="2"/>
      <c r="B30" s="8" t="s">
        <v>21</v>
      </c>
      <c r="C30" s="9">
        <f>5475+6125</f>
        <v>11600</v>
      </c>
      <c r="D30" s="11">
        <f t="shared" ref="D30:D35" si="0">C30/$C$37</f>
        <v>0.12349622058980092</v>
      </c>
      <c r="E30" s="9">
        <f>21199+27369</f>
        <v>48568</v>
      </c>
      <c r="F30" s="11">
        <f t="shared" ref="F30:F35" si="1">E30/$E$37</f>
        <v>0.40510805828724905</v>
      </c>
      <c r="G30" s="9">
        <f>56331+51328</f>
        <v>107659</v>
      </c>
      <c r="H30" s="11">
        <f t="shared" ref="H30:H35" si="2">G30/$G$37</f>
        <v>0.60038367806733328</v>
      </c>
      <c r="I30" s="9">
        <f>118982+115546</f>
        <v>234528</v>
      </c>
      <c r="J30" s="12">
        <f t="shared" ref="J30:J35" si="3">I30/$I$37</f>
        <v>0.7378226605634467</v>
      </c>
      <c r="M30" s="3" t="s">
        <v>43</v>
      </c>
    </row>
    <row r="31" spans="1:13" x14ac:dyDescent="0.2">
      <c r="A31" s="2"/>
      <c r="B31" s="8" t="s">
        <v>32</v>
      </c>
      <c r="C31" s="9">
        <f>3575+3156</f>
        <v>6731</v>
      </c>
      <c r="D31" s="11">
        <f t="shared" si="0"/>
        <v>7.1659746619823272E-2</v>
      </c>
      <c r="E31" s="9">
        <f>8308+7820</f>
        <v>16128</v>
      </c>
      <c r="F31" s="11">
        <f t="shared" si="1"/>
        <v>0.13452443510246978</v>
      </c>
      <c r="G31" s="9">
        <f>9030+12436</f>
        <v>21466</v>
      </c>
      <c r="H31" s="11">
        <f t="shared" si="2"/>
        <v>0.11970978769441827</v>
      </c>
      <c r="I31" s="9">
        <f>5770+6449</f>
        <v>12219</v>
      </c>
      <c r="J31" s="12">
        <f t="shared" si="3"/>
        <v>3.8440847529611626E-2</v>
      </c>
      <c r="M31" s="3" t="s">
        <v>0</v>
      </c>
    </row>
    <row r="32" spans="1:13" x14ac:dyDescent="0.2">
      <c r="A32" s="2"/>
      <c r="B32" s="8" t="s">
        <v>22</v>
      </c>
      <c r="C32" s="9">
        <f>291+359</f>
        <v>650</v>
      </c>
      <c r="D32" s="11">
        <f t="shared" si="0"/>
        <v>6.920046843394017E-3</v>
      </c>
      <c r="E32" s="9">
        <f>677+629</f>
        <v>1306</v>
      </c>
      <c r="F32" s="11">
        <f t="shared" si="1"/>
        <v>1.0893409737340373E-2</v>
      </c>
      <c r="G32" s="9">
        <f>366+284</f>
        <v>650</v>
      </c>
      <c r="H32" s="11">
        <f t="shared" si="2"/>
        <v>3.6248654617242089E-3</v>
      </c>
      <c r="I32" s="9">
        <f>309+671</f>
        <v>980</v>
      </c>
      <c r="J32" s="12">
        <f t="shared" si="3"/>
        <v>3.0830698567001717E-3</v>
      </c>
      <c r="M32" s="3" t="s">
        <v>1</v>
      </c>
    </row>
    <row r="33" spans="1:13" x14ac:dyDescent="0.2">
      <c r="A33" s="2"/>
      <c r="B33" s="8" t="s">
        <v>23</v>
      </c>
      <c r="C33" s="9">
        <f>729+1754</f>
        <v>2483</v>
      </c>
      <c r="D33" s="11">
        <f t="shared" si="0"/>
        <v>2.6434578941765145E-2</v>
      </c>
      <c r="E33" s="9">
        <f>1676+2990</f>
        <v>4666</v>
      </c>
      <c r="F33" s="11">
        <f t="shared" si="1"/>
        <v>3.8919333717021581E-2</v>
      </c>
      <c r="G33" s="9">
        <f>2825+3308</f>
        <v>6133</v>
      </c>
      <c r="H33" s="11">
        <f t="shared" si="2"/>
        <v>3.4201999810391653E-2</v>
      </c>
      <c r="I33" s="9">
        <f>15330+12315</f>
        <v>27645</v>
      </c>
      <c r="J33" s="12">
        <f t="shared" si="3"/>
        <v>8.6970883865792076E-2</v>
      </c>
      <c r="M33" s="3" t="s">
        <v>2</v>
      </c>
    </row>
    <row r="34" spans="1:13" x14ac:dyDescent="0.2">
      <c r="A34" s="2"/>
      <c r="B34" s="8" t="s">
        <v>3</v>
      </c>
      <c r="C34" s="9">
        <f>8057+5829</f>
        <v>13886</v>
      </c>
      <c r="D34" s="11">
        <f t="shared" si="0"/>
        <v>0.14783349302672202</v>
      </c>
      <c r="E34" s="9">
        <f>2646+3133</f>
        <v>5779</v>
      </c>
      <c r="F34" s="11">
        <f t="shared" si="1"/>
        <v>4.8202921035290974E-2</v>
      </c>
      <c r="G34" s="9">
        <f>1898+2221</f>
        <v>4119</v>
      </c>
      <c r="H34" s="11">
        <f t="shared" si="2"/>
        <v>2.2970493595141566E-2</v>
      </c>
      <c r="I34" s="9">
        <f>1907+1160</f>
        <v>3067</v>
      </c>
      <c r="J34" s="12">
        <f t="shared" si="3"/>
        <v>9.6487502556116597E-3</v>
      </c>
      <c r="M34" s="3" t="s">
        <v>4</v>
      </c>
    </row>
    <row r="35" spans="1:13" x14ac:dyDescent="0.2">
      <c r="B35" s="8" t="s">
        <v>24</v>
      </c>
      <c r="C35" s="9">
        <f>638+637</f>
        <v>1275</v>
      </c>
      <c r="D35" s="11">
        <f t="shared" si="0"/>
        <v>1.3573938038965188E-2</v>
      </c>
      <c r="E35" s="9">
        <f>2366+840</f>
        <v>3206</v>
      </c>
      <c r="F35" s="11">
        <f t="shared" si="1"/>
        <v>2.6741402463945817E-2</v>
      </c>
      <c r="G35" s="9">
        <f>1857+2777</f>
        <v>4634</v>
      </c>
      <c r="H35" s="11">
        <f t="shared" si="2"/>
        <v>2.5842502384046132E-2</v>
      </c>
      <c r="I35" s="9">
        <f>8532+4278</f>
        <v>12810</v>
      </c>
      <c r="J35" s="12">
        <f t="shared" si="3"/>
        <v>4.0300127412580815E-2</v>
      </c>
      <c r="M35" s="3" t="s">
        <v>5</v>
      </c>
    </row>
    <row r="37" spans="1:13" x14ac:dyDescent="0.2">
      <c r="B37" s="8" t="s">
        <v>16</v>
      </c>
      <c r="C37" s="3">
        <f>10638+8243+18819+9403+15329+9263+13216+9019</f>
        <v>93930</v>
      </c>
      <c r="E37" s="3">
        <f>99917+19972</f>
        <v>119889</v>
      </c>
      <c r="G37" s="3">
        <f>32104+108931+38282</f>
        <v>179317</v>
      </c>
      <c r="I37" s="3">
        <f>206925+78500+18458+13982</f>
        <v>317865</v>
      </c>
    </row>
    <row r="42" spans="1:13" x14ac:dyDescent="0.2">
      <c r="B42" s="5"/>
      <c r="C42" s="6" t="s">
        <v>6</v>
      </c>
      <c r="D42" s="6" t="s">
        <v>7</v>
      </c>
    </row>
    <row r="43" spans="1:13" x14ac:dyDescent="0.2">
      <c r="B43" s="8" t="s">
        <v>20</v>
      </c>
      <c r="C43" s="9">
        <f>20144+18502+28689+19055+10267+4007+1557+473+17434+16396+26216+18011+10946+4896+2229+987</f>
        <v>199809</v>
      </c>
      <c r="D43" s="11">
        <f>C43/$C$51</f>
        <v>0.2810249212026425</v>
      </c>
    </row>
    <row r="44" spans="1:13" x14ac:dyDescent="0.2">
      <c r="B44" s="8" t="s">
        <v>21</v>
      </c>
      <c r="C44" s="9">
        <f>28037+25993+45505+40054+35348+16927+7531+2592+27253+24112+40621+39159+35940+17946+9875+5462</f>
        <v>402355</v>
      </c>
      <c r="D44" s="11">
        <f t="shared" ref="D44:D49" si="4">C44/$C$51</f>
        <v>0.56589934472666004</v>
      </c>
    </row>
    <row r="45" spans="1:13" x14ac:dyDescent="0.2">
      <c r="B45" s="8" t="s">
        <v>32</v>
      </c>
      <c r="C45" s="9">
        <f>3659+3871+6078+6291+4076+1732+855+121+3484+3676+6806+6658+5007+2451+1163+616</f>
        <v>56544</v>
      </c>
      <c r="D45" s="11">
        <f t="shared" si="4"/>
        <v>7.9527314307574815E-2</v>
      </c>
    </row>
    <row r="46" spans="1:13" x14ac:dyDescent="0.2">
      <c r="B46" s="8" t="s">
        <v>22</v>
      </c>
      <c r="C46" s="9"/>
      <c r="D46" s="11">
        <f t="shared" si="4"/>
        <v>0</v>
      </c>
    </row>
    <row r="47" spans="1:13" x14ac:dyDescent="0.2">
      <c r="B47" s="8" t="s">
        <v>23</v>
      </c>
      <c r="C47" s="9">
        <f>3688+3500+6164+3684+2069+783+604+68+3679+3363+5548+3511+2421+1335+269+241</f>
        <v>40927</v>
      </c>
      <c r="D47" s="11">
        <f t="shared" si="4"/>
        <v>5.7562506944434676E-2</v>
      </c>
    </row>
    <row r="48" spans="1:13" x14ac:dyDescent="0.2">
      <c r="B48" s="8" t="s">
        <v>3</v>
      </c>
      <c r="C48" s="9">
        <f>2745+2573+3027+3238+1643+813+411+58+2224+1511+2388+3185+1676+764+442+153</f>
        <v>26851</v>
      </c>
      <c r="D48" s="11">
        <f t="shared" si="4"/>
        <v>3.7765066434505716E-2</v>
      </c>
    </row>
    <row r="49" spans="1:7" x14ac:dyDescent="0.2">
      <c r="B49" s="8" t="s">
        <v>24</v>
      </c>
      <c r="C49" s="9">
        <f>1950+769+1932+1736+1054+179+34+0+1256+1474+2635+1603+851+678+35+0</f>
        <v>16186</v>
      </c>
      <c r="D49" s="11">
        <f t="shared" si="4"/>
        <v>2.2765087531522458E-2</v>
      </c>
    </row>
    <row r="51" spans="1:7" x14ac:dyDescent="0.2">
      <c r="B51" s="8" t="s">
        <v>16</v>
      </c>
      <c r="C51" s="3">
        <f>210415+168573+138531+60334+47690+50720+24116+10622</f>
        <v>711001</v>
      </c>
      <c r="D51" s="12"/>
    </row>
    <row r="55" spans="1:7" x14ac:dyDescent="0.2">
      <c r="A55" s="1" t="s">
        <v>9</v>
      </c>
      <c r="B55" s="4"/>
      <c r="C55" s="4"/>
      <c r="D55" s="4"/>
      <c r="E55" s="4"/>
      <c r="F55" s="4"/>
      <c r="G55" s="4"/>
    </row>
    <row r="56" spans="1:7" x14ac:dyDescent="0.2">
      <c r="A56" s="4" t="s">
        <v>25</v>
      </c>
      <c r="B56" s="4"/>
      <c r="C56" s="4"/>
      <c r="D56" s="4"/>
      <c r="E56" s="4"/>
      <c r="F56" s="4"/>
      <c r="G56" s="4"/>
    </row>
    <row r="57" spans="1:7" ht="40.799999999999997" x14ac:dyDescent="0.2">
      <c r="A57" s="4"/>
      <c r="B57" s="4"/>
      <c r="C57" s="13" t="s">
        <v>27</v>
      </c>
      <c r="D57" s="13" t="s">
        <v>28</v>
      </c>
      <c r="E57" s="13" t="s">
        <v>29</v>
      </c>
      <c r="F57" s="13" t="s">
        <v>30</v>
      </c>
      <c r="G57" s="4"/>
    </row>
    <row r="58" spans="1:7" x14ac:dyDescent="0.2">
      <c r="A58" s="2"/>
      <c r="B58" s="4" t="s">
        <v>23</v>
      </c>
      <c r="C58" s="9">
        <v>0.45923258636533243</v>
      </c>
      <c r="D58" s="9">
        <v>0.67612297974774749</v>
      </c>
      <c r="E58" s="9">
        <v>0.59417147768437162</v>
      </c>
      <c r="F58" s="9">
        <v>1.5108946514394417</v>
      </c>
    </row>
    <row r="59" spans="1:7" x14ac:dyDescent="0.2">
      <c r="A59" s="2"/>
      <c r="B59" s="4" t="s">
        <v>32</v>
      </c>
      <c r="C59" s="9">
        <v>0.90107087412353148</v>
      </c>
      <c r="D59" s="9">
        <v>1.6915500828079215</v>
      </c>
      <c r="E59" s="9">
        <v>1.5052663193357223</v>
      </c>
      <c r="F59" s="9">
        <v>0.48336660007076604</v>
      </c>
    </row>
    <row r="60" spans="1:7" x14ac:dyDescent="0.2">
      <c r="A60" s="2"/>
      <c r="B60" s="4" t="s">
        <v>20</v>
      </c>
      <c r="C60" s="9">
        <v>2.7678111538817021</v>
      </c>
      <c r="D60" s="9">
        <v>1.4424579466667782</v>
      </c>
      <c r="E60" s="9">
        <v>0.79688373282680913</v>
      </c>
      <c r="F60" s="9">
        <v>0.42530903757460981</v>
      </c>
    </row>
    <row r="61" spans="1:7" x14ac:dyDescent="0.2">
      <c r="A61" s="2"/>
      <c r="B61" s="4" t="s">
        <v>21</v>
      </c>
      <c r="C61" s="9">
        <v>0.21823001164536054</v>
      </c>
      <c r="D61" s="9">
        <v>0.71586592573794872</v>
      </c>
      <c r="E61" s="9">
        <v>1.0609372208362069</v>
      </c>
      <c r="F61" s="9">
        <v>1.3038054690093852</v>
      </c>
    </row>
    <row r="74" spans="1:13" x14ac:dyDescent="0.2">
      <c r="A74" s="1" t="s">
        <v>34</v>
      </c>
      <c r="B74" s="2"/>
      <c r="C74" s="2"/>
      <c r="D74" s="2"/>
      <c r="E74" s="2"/>
      <c r="F74" s="2"/>
    </row>
    <row r="75" spans="1:13" x14ac:dyDescent="0.2">
      <c r="A75" s="4" t="s">
        <v>25</v>
      </c>
      <c r="B75" s="2"/>
      <c r="C75" s="2"/>
      <c r="D75" s="2"/>
      <c r="E75" s="2"/>
      <c r="F75" s="2"/>
    </row>
    <row r="76" spans="1:13" ht="40.799999999999997" x14ac:dyDescent="0.2">
      <c r="A76" s="5"/>
      <c r="B76" s="5"/>
      <c r="C76" s="6" t="s">
        <v>11</v>
      </c>
      <c r="D76" s="6" t="s">
        <v>10</v>
      </c>
      <c r="E76" s="6" t="s">
        <v>12</v>
      </c>
      <c r="F76" s="6" t="s">
        <v>13</v>
      </c>
      <c r="G76" s="6" t="s">
        <v>14</v>
      </c>
      <c r="H76" s="6" t="s">
        <v>17</v>
      </c>
      <c r="I76" s="6" t="s">
        <v>18</v>
      </c>
      <c r="J76" s="6" t="s">
        <v>19</v>
      </c>
      <c r="M76" s="3" t="s">
        <v>35</v>
      </c>
    </row>
    <row r="77" spans="1:13" x14ac:dyDescent="0.2">
      <c r="A77" s="2"/>
      <c r="B77" s="8" t="s">
        <v>23</v>
      </c>
      <c r="C77" s="14">
        <f>1204+2673</f>
        <v>3877</v>
      </c>
      <c r="D77" s="11">
        <f>C77/$C$82</f>
        <v>4.3576486456108801E-2</v>
      </c>
      <c r="E77" s="14">
        <f>2563+2964</f>
        <v>5527</v>
      </c>
      <c r="F77" s="11">
        <f>E77/$E$82</f>
        <v>4.3009330231038E-2</v>
      </c>
      <c r="G77" s="14">
        <f>4040+3159</f>
        <v>7199</v>
      </c>
      <c r="H77" s="11">
        <f>G77/$G$82</f>
        <v>3.9205755332995681E-2</v>
      </c>
      <c r="I77" s="14">
        <f>13078+13893</f>
        <v>26971</v>
      </c>
      <c r="J77" s="12">
        <f>I77/$I$82</f>
        <v>7.9175338838511189E-2</v>
      </c>
      <c r="M77" s="3" t="s">
        <v>45</v>
      </c>
    </row>
    <row r="78" spans="1:13" x14ac:dyDescent="0.2">
      <c r="A78" s="2"/>
      <c r="B78" s="8" t="s">
        <v>32</v>
      </c>
      <c r="C78" s="14">
        <f>3035+3396</f>
        <v>6431</v>
      </c>
      <c r="D78" s="11">
        <f>C78/$C$82</f>
        <v>7.2282791952343481E-2</v>
      </c>
      <c r="E78" s="14">
        <f>8175+9023</f>
        <v>17198</v>
      </c>
      <c r="F78" s="11">
        <f>E78/$E$82</f>
        <v>0.1338292855642105</v>
      </c>
      <c r="G78" s="14">
        <f>9833+10271</f>
        <v>20104</v>
      </c>
      <c r="H78" s="11">
        <f>G78/$G$82</f>
        <v>0.10948638772253719</v>
      </c>
      <c r="I78" s="14">
        <f>6517+8198</f>
        <v>14715</v>
      </c>
      <c r="J78" s="12">
        <f>I78/$I$82</f>
        <v>4.3196956397934534E-2</v>
      </c>
      <c r="M78" s="3" t="s">
        <v>43</v>
      </c>
    </row>
    <row r="79" spans="1:13" x14ac:dyDescent="0.2">
      <c r="A79" s="2"/>
      <c r="B79" s="8" t="s">
        <v>20</v>
      </c>
      <c r="C79" s="14">
        <f>34393+33416</f>
        <v>67809</v>
      </c>
      <c r="D79" s="11">
        <f>C79/$C$82</f>
        <v>0.76215578284815111</v>
      </c>
      <c r="E79" s="14">
        <f>31051+21895</f>
        <v>52946</v>
      </c>
      <c r="F79" s="11">
        <f>E79/$E$82</f>
        <v>0.41200868435182519</v>
      </c>
      <c r="G79" s="14">
        <f>20185+24110</f>
        <v>44295</v>
      </c>
      <c r="H79" s="11">
        <f>G79/$G$82</f>
        <v>0.24123057820183966</v>
      </c>
      <c r="I79" s="14">
        <f>22157+22724</f>
        <v>44881</v>
      </c>
      <c r="J79" s="12">
        <f>I79/$I$82</f>
        <v>0.13175145090694526</v>
      </c>
      <c r="M79" s="3" t="s">
        <v>0</v>
      </c>
    </row>
    <row r="80" spans="1:13" x14ac:dyDescent="0.2">
      <c r="A80" s="2"/>
      <c r="B80" s="8" t="s">
        <v>21</v>
      </c>
      <c r="C80" s="14">
        <f>4015+6404</f>
        <v>10419</v>
      </c>
      <c r="D80" s="11">
        <f>C80/$C$82</f>
        <v>0.11710688996290884</v>
      </c>
      <c r="E80" s="14">
        <f>24134+27321</f>
        <v>51455</v>
      </c>
      <c r="F80" s="11">
        <f>E80/$E$82</f>
        <v>0.40040620355311385</v>
      </c>
      <c r="G80" s="14">
        <f>54736+52285</f>
        <v>107021</v>
      </c>
      <c r="H80" s="11">
        <f>G80/$G$82</f>
        <v>0.58283638581643715</v>
      </c>
      <c r="I80" s="14">
        <f>126401+121960</f>
        <v>248361</v>
      </c>
      <c r="J80" s="12">
        <f>I80/$I$82</f>
        <v>0.72908184083910421</v>
      </c>
      <c r="M80" s="3" t="s">
        <v>2</v>
      </c>
    </row>
    <row r="81" spans="2:13" x14ac:dyDescent="0.2">
      <c r="M81" s="3" t="s">
        <v>36</v>
      </c>
    </row>
    <row r="82" spans="2:13" x14ac:dyDescent="0.2">
      <c r="B82" s="8" t="s">
        <v>15</v>
      </c>
      <c r="C82" s="15">
        <f>46056+42914</f>
        <v>88970</v>
      </c>
      <c r="D82" s="15"/>
      <c r="E82" s="15">
        <f>128507</f>
        <v>128507</v>
      </c>
      <c r="F82" s="15"/>
      <c r="G82" s="15">
        <f>143867+39754</f>
        <v>183621</v>
      </c>
      <c r="H82" s="15"/>
      <c r="I82" s="15">
        <f>218168+122481</f>
        <v>340649</v>
      </c>
      <c r="J82" s="15"/>
    </row>
    <row r="87" spans="2:13" ht="40.799999999999997" x14ac:dyDescent="0.2">
      <c r="B87" s="5"/>
      <c r="C87" s="6" t="s">
        <v>6</v>
      </c>
      <c r="D87" s="6" t="s">
        <v>7</v>
      </c>
      <c r="G87" s="7" t="s">
        <v>37</v>
      </c>
      <c r="H87" s="7" t="s">
        <v>38</v>
      </c>
      <c r="I87" s="7" t="s">
        <v>39</v>
      </c>
      <c r="J87" s="7" t="s">
        <v>40</v>
      </c>
    </row>
    <row r="88" spans="2:13" x14ac:dyDescent="0.2">
      <c r="B88" s="8" t="s">
        <v>23</v>
      </c>
      <c r="C88" s="14">
        <f>3899+3350+6173+3780+1949+1277+380+77+3828+3640+6675+3833+2586+1631+496+0</f>
        <v>43574</v>
      </c>
      <c r="D88" s="11">
        <f>C88/$C$93</f>
        <v>5.8745097721999547E-2</v>
      </c>
      <c r="F88" s="8" t="s">
        <v>23</v>
      </c>
      <c r="G88" s="12">
        <v>4.3576486456108801E-2</v>
      </c>
      <c r="H88" s="12">
        <v>4.3009330231038E-2</v>
      </c>
      <c r="I88" s="12">
        <v>3.9205755332995681E-2</v>
      </c>
      <c r="J88" s="12">
        <v>7.9175338838511189E-2</v>
      </c>
    </row>
    <row r="89" spans="2:13" x14ac:dyDescent="0.2">
      <c r="B89" s="8" t="s">
        <v>32</v>
      </c>
      <c r="C89" s="14">
        <f>3986+3619+5866+6647+4585+1835+928+94+3851+3930+6517+6806+5388+2565+1425+406</f>
        <v>58448</v>
      </c>
      <c r="D89" s="11">
        <f>C89/$C$93</f>
        <v>7.8797757186749653E-2</v>
      </c>
      <c r="F89" s="8" t="s">
        <v>32</v>
      </c>
      <c r="G89" s="12">
        <v>7.2282791952343481E-2</v>
      </c>
      <c r="H89" s="12">
        <v>0.1338292855642105</v>
      </c>
      <c r="I89" s="12">
        <v>0.10948638772253719</v>
      </c>
      <c r="J89" s="12">
        <v>4.3196956397934534E-2</v>
      </c>
    </row>
    <row r="90" spans="2:13" x14ac:dyDescent="0.2">
      <c r="B90" s="8" t="s">
        <v>20</v>
      </c>
      <c r="C90" s="14">
        <f>20699+19406+30071+19912+11139+4416+1722+421+18132+17170+27400+18938+11836+5234+2690+745</f>
        <v>209931</v>
      </c>
      <c r="D90" s="11">
        <f>C90/$C$93</f>
        <v>0.28302237825026594</v>
      </c>
      <c r="F90" s="8" t="s">
        <v>20</v>
      </c>
      <c r="G90" s="12">
        <v>0.76215578284815111</v>
      </c>
      <c r="H90" s="12">
        <v>0.41200868435182519</v>
      </c>
      <c r="I90" s="12">
        <v>0.24123057820183966</v>
      </c>
      <c r="J90" s="12">
        <v>0.13175145090694526</v>
      </c>
    </row>
    <row r="91" spans="2:13" x14ac:dyDescent="0.2">
      <c r="B91" s="8" t="s">
        <v>21</v>
      </c>
      <c r="C91" s="14">
        <f>29208+27096+47056+40693+3696+18440+7674+2723+28342+25480+42188+39304+37424+19504+10018+5710</f>
        <v>384556</v>
      </c>
      <c r="D91" s="11">
        <f>C91/$C$93</f>
        <v>0.5184463166012131</v>
      </c>
      <c r="F91" s="8" t="s">
        <v>21</v>
      </c>
      <c r="G91" s="12">
        <v>0.11710688996290884</v>
      </c>
      <c r="H91" s="12">
        <v>0.40040620355311385</v>
      </c>
      <c r="I91" s="12">
        <v>0.58283638581643715</v>
      </c>
      <c r="J91" s="12">
        <v>0.72908184083910421</v>
      </c>
    </row>
    <row r="92" spans="2:13" x14ac:dyDescent="0.2">
      <c r="C92" s="15"/>
    </row>
    <row r="93" spans="2:13" x14ac:dyDescent="0.2">
      <c r="B93" s="8" t="s">
        <v>15</v>
      </c>
      <c r="C93" s="15">
        <f>220139+175567+141433+61633+51867+55353+25526+10229</f>
        <v>741747</v>
      </c>
      <c r="D93" s="12"/>
    </row>
    <row r="99" spans="1:6" x14ac:dyDescent="0.2">
      <c r="A99" s="1" t="s">
        <v>34</v>
      </c>
      <c r="B99" s="4"/>
      <c r="C99" s="4"/>
      <c r="D99" s="4"/>
      <c r="E99" s="4"/>
      <c r="F99" s="4"/>
    </row>
    <row r="100" spans="1:6" x14ac:dyDescent="0.2">
      <c r="A100" s="4" t="s">
        <v>25</v>
      </c>
      <c r="B100" s="4"/>
      <c r="C100" s="4"/>
      <c r="D100" s="4"/>
      <c r="E100" s="4"/>
      <c r="F100" s="4"/>
    </row>
    <row r="101" spans="1:6" ht="40.799999999999997" x14ac:dyDescent="0.2">
      <c r="A101" s="4"/>
      <c r="B101" s="4"/>
      <c r="C101" s="13" t="s">
        <v>27</v>
      </c>
      <c r="D101" s="13" t="s">
        <v>28</v>
      </c>
      <c r="E101" s="13" t="s">
        <v>29</v>
      </c>
      <c r="F101" s="13" t="s">
        <v>30</v>
      </c>
    </row>
    <row r="102" spans="1:6" x14ac:dyDescent="0.2">
      <c r="A102" s="2"/>
      <c r="B102" s="4" t="s">
        <v>23</v>
      </c>
      <c r="C102" s="9">
        <f>G88/$D$88</f>
        <v>0.74178932618899662</v>
      </c>
      <c r="D102" s="9">
        <f>H88/$D$88</f>
        <v>0.73213479760595179</v>
      </c>
      <c r="E102" s="9">
        <f>I88/$D$88</f>
        <v>0.66738769451929014</v>
      </c>
      <c r="F102" s="9">
        <f>J88/$D$88</f>
        <v>1.3477778045956113</v>
      </c>
    </row>
    <row r="103" spans="1:6" x14ac:dyDescent="0.2">
      <c r="A103" s="2"/>
      <c r="B103" s="4" t="s">
        <v>32</v>
      </c>
      <c r="C103" s="9">
        <f>G89/$D$89</f>
        <v>0.91732042297897143</v>
      </c>
      <c r="D103" s="9">
        <f>H89/$D$89</f>
        <v>1.6983895270906868</v>
      </c>
      <c r="E103" s="9">
        <f>I89/$D$89</f>
        <v>1.3894607109572406</v>
      </c>
      <c r="F103" s="9">
        <f>J89/$D$89</f>
        <v>0.54820032879309388</v>
      </c>
    </row>
    <row r="104" spans="1:6" x14ac:dyDescent="0.2">
      <c r="A104" s="2"/>
      <c r="B104" s="4" t="s">
        <v>20</v>
      </c>
      <c r="C104" s="9">
        <f>G90/$D$90</f>
        <v>2.692917032073717</v>
      </c>
      <c r="D104" s="9">
        <f>H90/$D$90</f>
        <v>1.4557459622062168</v>
      </c>
      <c r="E104" s="9">
        <f>I90/$D$90</f>
        <v>0.85233747130952531</v>
      </c>
      <c r="F104" s="9">
        <f>J90/$D$90</f>
        <v>0.46551601933908726</v>
      </c>
    </row>
    <row r="105" spans="1:6" x14ac:dyDescent="0.2">
      <c r="A105" s="2"/>
      <c r="B105" s="4" t="s">
        <v>21</v>
      </c>
      <c r="C105" s="9">
        <f>G91/$D$91</f>
        <v>0.22588045514650074</v>
      </c>
      <c r="D105" s="9">
        <f>H91/$D$91</f>
        <v>0.77231950682582384</v>
      </c>
      <c r="E105" s="9">
        <f>I91/$D$91</f>
        <v>1.1241981419355953</v>
      </c>
      <c r="F105" s="9">
        <f>J91/$D$91</f>
        <v>1.4062822272877891</v>
      </c>
    </row>
    <row r="111" spans="1:6" x14ac:dyDescent="0.2">
      <c r="A111" s="1" t="s">
        <v>41</v>
      </c>
      <c r="B111" s="2"/>
      <c r="C111" s="2"/>
      <c r="D111" s="2"/>
      <c r="E111" s="2"/>
      <c r="F111" s="2"/>
    </row>
    <row r="112" spans="1:6" x14ac:dyDescent="0.2">
      <c r="A112" s="4" t="s">
        <v>25</v>
      </c>
      <c r="B112" s="2"/>
      <c r="C112" s="2"/>
      <c r="D112" s="2"/>
      <c r="E112" s="2"/>
      <c r="F112" s="2"/>
    </row>
    <row r="113" spans="1:13" ht="40.799999999999997" x14ac:dyDescent="0.2">
      <c r="A113" s="5"/>
      <c r="B113" s="5"/>
      <c r="C113" s="6" t="s">
        <v>11</v>
      </c>
      <c r="D113" s="6" t="s">
        <v>10</v>
      </c>
      <c r="E113" s="6" t="s">
        <v>12</v>
      </c>
      <c r="F113" s="6" t="s">
        <v>13</v>
      </c>
      <c r="G113" s="6" t="s">
        <v>14</v>
      </c>
      <c r="H113" s="6" t="s">
        <v>17</v>
      </c>
      <c r="I113" s="6" t="s">
        <v>18</v>
      </c>
      <c r="J113" s="6" t="s">
        <v>19</v>
      </c>
      <c r="M113" s="3" t="s">
        <v>35</v>
      </c>
    </row>
    <row r="114" spans="1:13" x14ac:dyDescent="0.2">
      <c r="A114" s="2"/>
      <c r="B114" s="8" t="s">
        <v>23</v>
      </c>
      <c r="C114" s="14">
        <v>3730</v>
      </c>
      <c r="D114" s="11">
        <f>C114/$C$119</f>
        <v>4.2351231364890489E-2</v>
      </c>
      <c r="E114" s="14">
        <v>5479</v>
      </c>
      <c r="F114" s="11">
        <f>E114/$E$119</f>
        <v>4.077000922701432E-2</v>
      </c>
      <c r="G114" s="14">
        <v>5367</v>
      </c>
      <c r="H114" s="11">
        <f>G114/$G$119</f>
        <v>2.7312421121198551E-2</v>
      </c>
      <c r="I114" s="14">
        <v>34705</v>
      </c>
      <c r="J114" s="12">
        <f>I114/$I$119</f>
        <v>9.8722481872669188E-2</v>
      </c>
      <c r="M114" s="3" t="s">
        <v>2</v>
      </c>
    </row>
    <row r="115" spans="1:13" x14ac:dyDescent="0.2">
      <c r="A115" s="2"/>
      <c r="B115" s="8" t="s">
        <v>32</v>
      </c>
      <c r="C115" s="14">
        <v>5227</v>
      </c>
      <c r="D115" s="11">
        <f>C115/$C$119</f>
        <v>5.9348494998467179E-2</v>
      </c>
      <c r="E115" s="14">
        <v>17720</v>
      </c>
      <c r="F115" s="11">
        <f>E115/$E$119</f>
        <v>0.13185701104265263</v>
      </c>
      <c r="G115" s="14">
        <v>23964</v>
      </c>
      <c r="H115" s="11">
        <f>G115/$G$119</f>
        <v>0.12195171599560314</v>
      </c>
      <c r="I115" s="14">
        <v>14928</v>
      </c>
      <c r="J115" s="12">
        <f>I115/$I$119</f>
        <v>4.2464463604529767E-2</v>
      </c>
      <c r="M115" s="3" t="s">
        <v>0</v>
      </c>
    </row>
    <row r="116" spans="1:13" x14ac:dyDescent="0.2">
      <c r="A116" s="2"/>
      <c r="B116" s="8" t="s">
        <v>20</v>
      </c>
      <c r="C116" s="14">
        <v>67230</v>
      </c>
      <c r="D116" s="11">
        <f>C116/$C$119</f>
        <v>0.76334404414519774</v>
      </c>
      <c r="E116" s="14">
        <v>56884</v>
      </c>
      <c r="F116" s="11">
        <f>E116/$E$119</f>
        <v>0.42328184064053337</v>
      </c>
      <c r="G116" s="14">
        <v>48467</v>
      </c>
      <c r="H116" s="11">
        <f>G116/$G$119</f>
        <v>0.24664637869967024</v>
      </c>
      <c r="I116" s="14">
        <v>46481</v>
      </c>
      <c r="J116" s="12">
        <f>I116/$I$119</f>
        <v>0.1322207082530914</v>
      </c>
      <c r="M116" s="3" t="s">
        <v>45</v>
      </c>
    </row>
    <row r="117" spans="1:13" x14ac:dyDescent="0.2">
      <c r="A117" s="2"/>
      <c r="B117" s="8" t="s">
        <v>21</v>
      </c>
      <c r="C117" s="14">
        <v>11470</v>
      </c>
      <c r="D117" s="11">
        <f>C117/$C$119</f>
        <v>0.13023287500141928</v>
      </c>
      <c r="E117" s="14">
        <v>51467</v>
      </c>
      <c r="F117" s="11">
        <f>E117/$E$119</f>
        <v>0.38297318212935677</v>
      </c>
      <c r="G117" s="14">
        <v>116156</v>
      </c>
      <c r="H117" s="11">
        <f>G117/$G$119</f>
        <v>0.59111264910637951</v>
      </c>
      <c r="I117" s="14">
        <v>250568</v>
      </c>
      <c r="J117" s="12">
        <f>I117/$I$119</f>
        <v>0.71277034542201334</v>
      </c>
      <c r="M117" s="3" t="s">
        <v>43</v>
      </c>
    </row>
    <row r="118" spans="1:13" x14ac:dyDescent="0.2">
      <c r="M118" s="3" t="s">
        <v>36</v>
      </c>
    </row>
    <row r="119" spans="1:13" x14ac:dyDescent="0.2">
      <c r="B119" s="8" t="s">
        <v>15</v>
      </c>
      <c r="C119" s="3">
        <v>88073</v>
      </c>
      <c r="E119" s="3">
        <v>134388</v>
      </c>
      <c r="G119" s="3">
        <v>196504</v>
      </c>
      <c r="I119" s="3">
        <v>351541</v>
      </c>
      <c r="J119" s="15"/>
    </row>
    <row r="124" spans="1:13" ht="40.799999999999997" x14ac:dyDescent="0.2">
      <c r="B124" s="5"/>
      <c r="C124" s="6" t="s">
        <v>6</v>
      </c>
      <c r="D124" s="6" t="s">
        <v>7</v>
      </c>
      <c r="G124" s="7" t="s">
        <v>37</v>
      </c>
      <c r="H124" s="7" t="s">
        <v>38</v>
      </c>
      <c r="I124" s="7" t="s">
        <v>39</v>
      </c>
      <c r="J124" s="7" t="s">
        <v>40</v>
      </c>
    </row>
    <row r="125" spans="1:13" x14ac:dyDescent="0.2">
      <c r="B125" s="8" t="s">
        <v>23</v>
      </c>
      <c r="C125" s="14">
        <v>49281</v>
      </c>
      <c r="D125" s="11">
        <f>C125/$C$93</f>
        <v>6.64390958102965E-2</v>
      </c>
      <c r="F125" s="8" t="s">
        <v>23</v>
      </c>
      <c r="G125" s="12">
        <v>4.2351231364890489E-2</v>
      </c>
      <c r="H125" s="12">
        <v>4.077000922701432E-2</v>
      </c>
      <c r="I125" s="12">
        <v>2.7312421121198551E-2</v>
      </c>
      <c r="J125" s="12">
        <v>9.8722481872669188E-2</v>
      </c>
    </row>
    <row r="126" spans="1:13" x14ac:dyDescent="0.2">
      <c r="B126" s="8" t="s">
        <v>32</v>
      </c>
      <c r="C126" s="14">
        <v>61839</v>
      </c>
      <c r="D126" s="11">
        <f>C126/$C$93</f>
        <v>8.3369396842858823E-2</v>
      </c>
      <c r="F126" s="8" t="s">
        <v>32</v>
      </c>
      <c r="G126" s="12">
        <v>5.9348494998467179E-2</v>
      </c>
      <c r="H126" s="12">
        <v>0.13185701104265263</v>
      </c>
      <c r="I126" s="12">
        <v>0.12195171599560314</v>
      </c>
      <c r="J126" s="12">
        <v>4.2464463604529767E-2</v>
      </c>
    </row>
    <row r="127" spans="1:13" x14ac:dyDescent="0.2">
      <c r="B127" s="8" t="s">
        <v>20</v>
      </c>
      <c r="C127" s="14">
        <v>219062</v>
      </c>
      <c r="D127" s="11">
        <f>C127/$C$93</f>
        <v>0.29533250555782498</v>
      </c>
      <c r="F127" s="8" t="s">
        <v>20</v>
      </c>
      <c r="G127" s="12">
        <v>0.76334404414519774</v>
      </c>
      <c r="H127" s="12">
        <v>0.42328184064053337</v>
      </c>
      <c r="I127" s="12">
        <v>0.24664637869967024</v>
      </c>
      <c r="J127" s="12">
        <v>0.1322207082530914</v>
      </c>
    </row>
    <row r="128" spans="1:13" x14ac:dyDescent="0.2">
      <c r="B128" s="8" t="s">
        <v>21</v>
      </c>
      <c r="C128" s="14">
        <v>419661</v>
      </c>
      <c r="D128" s="11">
        <f>C128/$C$93</f>
        <v>0.56577377461587308</v>
      </c>
      <c r="F128" s="8" t="s">
        <v>21</v>
      </c>
      <c r="G128" s="12">
        <v>0.13023287500141928</v>
      </c>
      <c r="H128" s="12">
        <v>0.38297318212935677</v>
      </c>
      <c r="I128" s="12">
        <v>0.59111264910637951</v>
      </c>
      <c r="J128" s="12">
        <v>0.71277034542201334</v>
      </c>
    </row>
    <row r="129" spans="1:6" x14ac:dyDescent="0.2">
      <c r="C129" s="15"/>
    </row>
    <row r="130" spans="1:6" x14ac:dyDescent="0.2">
      <c r="B130" s="8" t="s">
        <v>15</v>
      </c>
      <c r="C130" s="15">
        <v>770506</v>
      </c>
      <c r="D130" s="16"/>
    </row>
    <row r="136" spans="1:6" x14ac:dyDescent="0.2">
      <c r="A136" s="1" t="s">
        <v>41</v>
      </c>
      <c r="B136" s="4"/>
      <c r="C136" s="4"/>
      <c r="D136" s="4"/>
      <c r="E136" s="4"/>
      <c r="F136" s="4"/>
    </row>
    <row r="137" spans="1:6" x14ac:dyDescent="0.2">
      <c r="A137" s="4" t="s">
        <v>25</v>
      </c>
      <c r="B137" s="4"/>
      <c r="C137" s="4"/>
      <c r="D137" s="4"/>
      <c r="E137" s="4"/>
      <c r="F137" s="4"/>
    </row>
    <row r="138" spans="1:6" ht="40.799999999999997" x14ac:dyDescent="0.2">
      <c r="A138" s="4"/>
      <c r="B138" s="4"/>
      <c r="C138" s="13" t="s">
        <v>27</v>
      </c>
      <c r="D138" s="13" t="s">
        <v>28</v>
      </c>
      <c r="E138" s="13" t="s">
        <v>29</v>
      </c>
      <c r="F138" s="13" t="s">
        <v>30</v>
      </c>
    </row>
    <row r="139" spans="1:6" x14ac:dyDescent="0.2">
      <c r="A139" s="2"/>
      <c r="B139" s="4" t="s">
        <v>23</v>
      </c>
      <c r="C139" s="9">
        <f>G125/$D$125</f>
        <v>0.63744442708576177</v>
      </c>
      <c r="D139" s="9">
        <f>H125/$D$125</f>
        <v>0.61364485367809485</v>
      </c>
      <c r="E139" s="9">
        <f>I125/$D$125</f>
        <v>0.41108959699246489</v>
      </c>
      <c r="F139" s="9">
        <f>J125/$D$125</f>
        <v>1.485909473460497</v>
      </c>
    </row>
    <row r="140" spans="1:6" x14ac:dyDescent="0.2">
      <c r="A140" s="2"/>
      <c r="B140" s="4" t="s">
        <v>32</v>
      </c>
      <c r="C140" s="9">
        <f>G126/$D$126</f>
        <v>0.71187386794139673</v>
      </c>
      <c r="D140" s="9">
        <f>H126/$D$126</f>
        <v>1.5815996760920206</v>
      </c>
      <c r="E140" s="9">
        <f>I126/$D$126</f>
        <v>1.4627875529130587</v>
      </c>
      <c r="F140" s="9">
        <f>J126/$D$126</f>
        <v>0.50935313451493625</v>
      </c>
    </row>
    <row r="141" spans="1:6" x14ac:dyDescent="0.2">
      <c r="A141" s="2"/>
      <c r="B141" s="4" t="s">
        <v>20</v>
      </c>
      <c r="C141" s="9">
        <f>G127/$D$127</f>
        <v>2.5846936242368277</v>
      </c>
      <c r="D141" s="9">
        <f>H127/$D$127</f>
        <v>1.4332382405419182</v>
      </c>
      <c r="E141" s="9">
        <f>I127/$D$127</f>
        <v>0.83514809260092715</v>
      </c>
      <c r="F141" s="9">
        <f>J127/$D$127</f>
        <v>0.4477011699181318</v>
      </c>
    </row>
    <row r="142" spans="1:6" x14ac:dyDescent="0.2">
      <c r="A142" s="2"/>
      <c r="B142" s="4" t="s">
        <v>21</v>
      </c>
      <c r="C142" s="9">
        <f>G128/$D$128</f>
        <v>0.23018542188499228</v>
      </c>
      <c r="D142" s="9">
        <f>H128/$D$128</f>
        <v>0.67690161564906914</v>
      </c>
      <c r="E142" s="9">
        <f>I128/$D$128</f>
        <v>1.044786230163655</v>
      </c>
      <c r="F142" s="9">
        <f>J128/$D$128</f>
        <v>1.2598151017267321</v>
      </c>
    </row>
    <row r="145" spans="1:15" x14ac:dyDescent="0.2">
      <c r="A145" s="1" t="s">
        <v>42</v>
      </c>
      <c r="B145" s="2"/>
      <c r="C145" s="2"/>
      <c r="D145" s="2"/>
      <c r="E145" s="2"/>
      <c r="F145" s="2"/>
    </row>
    <row r="146" spans="1:15" x14ac:dyDescent="0.2">
      <c r="A146" s="4" t="s">
        <v>25</v>
      </c>
      <c r="B146" s="2"/>
      <c r="C146" s="2"/>
      <c r="D146" s="2"/>
      <c r="E146" s="2"/>
      <c r="F146" s="2"/>
    </row>
    <row r="147" spans="1:15" ht="40.799999999999997" x14ac:dyDescent="0.2">
      <c r="A147" s="5"/>
      <c r="B147" s="5"/>
      <c r="C147" s="6" t="s">
        <v>11</v>
      </c>
      <c r="D147" s="6" t="s">
        <v>10</v>
      </c>
      <c r="E147" s="6" t="s">
        <v>12</v>
      </c>
      <c r="F147" s="6" t="s">
        <v>13</v>
      </c>
      <c r="G147" s="6" t="s">
        <v>14</v>
      </c>
      <c r="H147" s="6" t="s">
        <v>17</v>
      </c>
      <c r="I147" s="6" t="s">
        <v>18</v>
      </c>
      <c r="J147" s="6" t="s">
        <v>19</v>
      </c>
      <c r="M147" s="18" t="s">
        <v>50</v>
      </c>
    </row>
    <row r="148" spans="1:15" x14ac:dyDescent="0.2">
      <c r="A148" s="2"/>
      <c r="B148" s="8" t="s">
        <v>23</v>
      </c>
      <c r="C148" s="14">
        <f>1895+2744</f>
        <v>4639</v>
      </c>
      <c r="D148" s="11">
        <f>C148/C153</f>
        <v>5.0077723563193573E-2</v>
      </c>
      <c r="E148" s="14">
        <f>1281+2761</f>
        <v>4042</v>
      </c>
      <c r="F148" s="11">
        <f>E148/E153</f>
        <v>2.9116212731319736E-2</v>
      </c>
      <c r="G148" s="14">
        <f>2943+3139</f>
        <v>6082</v>
      </c>
      <c r="H148" s="11">
        <f>G148/G153</f>
        <v>3.2227468061318029E-2</v>
      </c>
      <c r="I148" s="14">
        <f>19629+17567</f>
        <v>37196</v>
      </c>
      <c r="J148" s="12">
        <f>I148/I153</f>
        <v>9.9209175168367011E-2</v>
      </c>
      <c r="M148" s="3" t="s">
        <v>49</v>
      </c>
      <c r="N148" s="3" t="s">
        <v>53</v>
      </c>
    </row>
    <row r="149" spans="1:15" x14ac:dyDescent="0.2">
      <c r="A149" s="2"/>
      <c r="B149" s="8" t="s">
        <v>32</v>
      </c>
      <c r="C149" s="14">
        <v>6322</v>
      </c>
      <c r="D149" s="11">
        <f>C149/C153</f>
        <v>6.8245606459691702E-2</v>
      </c>
      <c r="E149" s="14">
        <v>17189</v>
      </c>
      <c r="F149" s="11">
        <f>E149/E153</f>
        <v>0.12381953998977115</v>
      </c>
      <c r="G149" s="14">
        <v>24504</v>
      </c>
      <c r="H149" s="11">
        <f>G149/G153</f>
        <v>0.12984246586230466</v>
      </c>
      <c r="I149" s="14">
        <v>16945</v>
      </c>
      <c r="J149" s="12">
        <f>I149/I153</f>
        <v>4.5195705807828231E-2</v>
      </c>
      <c r="M149" s="3" t="s">
        <v>52</v>
      </c>
      <c r="N149" s="3" t="s">
        <v>53</v>
      </c>
    </row>
    <row r="150" spans="1:15" x14ac:dyDescent="0.2">
      <c r="A150" s="2"/>
      <c r="B150" s="8" t="s">
        <v>20</v>
      </c>
      <c r="C150" s="14">
        <v>69843</v>
      </c>
      <c r="D150" s="11">
        <f>C150/C153</f>
        <v>0.7539509477956734</v>
      </c>
      <c r="E150" s="14">
        <v>66559</v>
      </c>
      <c r="F150" s="11">
        <f>E150/E153</f>
        <v>0.47945225214841919</v>
      </c>
      <c r="G150" s="14">
        <v>45077</v>
      </c>
      <c r="H150" s="11">
        <f>G150/G153</f>
        <v>0.23885524133509253</v>
      </c>
      <c r="I150" s="14">
        <v>45446</v>
      </c>
      <c r="J150" s="12">
        <f>I150/I153</f>
        <v>0.12121357604854305</v>
      </c>
      <c r="M150" s="3" t="s">
        <v>45</v>
      </c>
      <c r="N150" s="3" t="s">
        <v>53</v>
      </c>
    </row>
    <row r="151" spans="1:15" x14ac:dyDescent="0.2">
      <c r="A151" s="2"/>
      <c r="B151" s="8" t="s">
        <v>21</v>
      </c>
      <c r="C151" s="14">
        <f>6324+4846</f>
        <v>11170</v>
      </c>
      <c r="D151" s="11">
        <f>C151/C153</f>
        <v>0.12057947234336543</v>
      </c>
      <c r="E151" s="14">
        <f>25501+25524</f>
        <v>51025</v>
      </c>
      <c r="F151" s="11">
        <f>E151/E153</f>
        <v>0.36755436779208056</v>
      </c>
      <c r="G151" s="14">
        <f>56133+53098</f>
        <v>109231</v>
      </c>
      <c r="H151" s="11">
        <f>G151/G153</f>
        <v>0.57879621239819623</v>
      </c>
      <c r="I151" s="14">
        <f>132599+136859</f>
        <v>269458</v>
      </c>
      <c r="J151" s="12">
        <f>I151/I153</f>
        <v>0.71869840634793625</v>
      </c>
      <c r="M151" s="3" t="s">
        <v>43</v>
      </c>
      <c r="N151" s="3" t="s">
        <v>53</v>
      </c>
    </row>
    <row r="153" spans="1:15" x14ac:dyDescent="0.2">
      <c r="B153" s="8" t="s">
        <v>15</v>
      </c>
      <c r="C153" s="3">
        <v>92636</v>
      </c>
      <c r="E153" s="3">
        <v>138823</v>
      </c>
      <c r="G153" s="3">
        <v>188721</v>
      </c>
      <c r="I153" s="3">
        <v>374925</v>
      </c>
      <c r="J153" s="15"/>
      <c r="M153" s="3" t="s">
        <v>54</v>
      </c>
      <c r="O153" s="3" t="s">
        <v>53</v>
      </c>
    </row>
    <row r="158" spans="1:15" ht="40.799999999999997" x14ac:dyDescent="0.2">
      <c r="B158" s="5"/>
      <c r="C158" s="6" t="s">
        <v>6</v>
      </c>
      <c r="D158" s="6" t="s">
        <v>7</v>
      </c>
      <c r="G158" s="7" t="s">
        <v>37</v>
      </c>
      <c r="H158" s="7" t="s">
        <v>38</v>
      </c>
      <c r="I158" s="7" t="s">
        <v>39</v>
      </c>
      <c r="J158" s="7" t="s">
        <v>40</v>
      </c>
      <c r="M158" s="18" t="s">
        <v>50</v>
      </c>
    </row>
    <row r="159" spans="1:15" x14ac:dyDescent="0.2">
      <c r="B159" s="8" t="s">
        <v>23</v>
      </c>
      <c r="C159" s="14">
        <f>51959</f>
        <v>51959</v>
      </c>
      <c r="D159" s="11">
        <f>C159/C164</f>
        <v>6.5348601757000649E-2</v>
      </c>
      <c r="F159" s="8" t="s">
        <v>23</v>
      </c>
      <c r="G159" s="12">
        <f>D148</f>
        <v>5.0077723563193573E-2</v>
      </c>
      <c r="H159" s="12">
        <f>F148</f>
        <v>2.9116212731319736E-2</v>
      </c>
      <c r="I159" s="12">
        <f>H148</f>
        <v>3.2227468061318029E-2</v>
      </c>
      <c r="J159" s="12">
        <f>J148</f>
        <v>9.9209175168367011E-2</v>
      </c>
      <c r="M159" s="3" t="s">
        <v>51</v>
      </c>
      <c r="N159" s="3" t="s">
        <v>53</v>
      </c>
    </row>
    <row r="160" spans="1:15" x14ac:dyDescent="0.2">
      <c r="B160" s="8" t="s">
        <v>32</v>
      </c>
      <c r="C160" s="14">
        <v>64960</v>
      </c>
      <c r="D160" s="11">
        <f>C160/C164</f>
        <v>8.1699901270901321E-2</v>
      </c>
      <c r="F160" s="8" t="s">
        <v>32</v>
      </c>
      <c r="G160" s="12">
        <f>D149</f>
        <v>6.8245606459691702E-2</v>
      </c>
      <c r="H160" s="12">
        <f>F149</f>
        <v>0.12381953998977115</v>
      </c>
      <c r="I160" s="12">
        <f>H149</f>
        <v>0.12984246586230466</v>
      </c>
      <c r="J160" s="12">
        <f>J149</f>
        <v>4.5195705807828231E-2</v>
      </c>
      <c r="M160" s="3" t="s">
        <v>46</v>
      </c>
      <c r="N160" s="3" t="s">
        <v>53</v>
      </c>
    </row>
    <row r="161" spans="1:15" x14ac:dyDescent="0.2">
      <c r="B161" s="8" t="s">
        <v>20</v>
      </c>
      <c r="C161" s="14">
        <v>226925</v>
      </c>
      <c r="D161" s="11">
        <f>C161/C164</f>
        <v>0.28540255689500127</v>
      </c>
      <c r="F161" s="8" t="s">
        <v>20</v>
      </c>
      <c r="G161" s="12">
        <f>D150</f>
        <v>0.7539509477956734</v>
      </c>
      <c r="H161" s="12">
        <f>F150</f>
        <v>0.47945225214841919</v>
      </c>
      <c r="I161" s="12">
        <f>H150</f>
        <v>0.23885524133509253</v>
      </c>
      <c r="J161" s="12">
        <f>J150</f>
        <v>0.12121357604854305</v>
      </c>
      <c r="M161" s="3" t="s">
        <v>47</v>
      </c>
      <c r="N161" s="3" t="s">
        <v>53</v>
      </c>
    </row>
    <row r="162" spans="1:15" x14ac:dyDescent="0.2">
      <c r="B162" s="8" t="s">
        <v>21</v>
      </c>
      <c r="C162" s="14">
        <v>440784</v>
      </c>
      <c r="D162" s="11">
        <f>C162/C164</f>
        <v>0.55437206406701001</v>
      </c>
      <c r="F162" s="8" t="s">
        <v>21</v>
      </c>
      <c r="G162" s="12">
        <f>D151</f>
        <v>0.12057947234336543</v>
      </c>
      <c r="H162" s="12">
        <f>F151</f>
        <v>0.36755436779208056</v>
      </c>
      <c r="I162" s="12">
        <f>H151</f>
        <v>0.57879621239819623</v>
      </c>
      <c r="J162" s="12">
        <f>J151</f>
        <v>0.71869840634793625</v>
      </c>
      <c r="M162" s="3" t="s">
        <v>48</v>
      </c>
      <c r="N162" s="3" t="s">
        <v>53</v>
      </c>
    </row>
    <row r="163" spans="1:15" x14ac:dyDescent="0.2">
      <c r="C163" s="15"/>
    </row>
    <row r="164" spans="1:15" x14ac:dyDescent="0.2">
      <c r="B164" s="8" t="s">
        <v>15</v>
      </c>
      <c r="C164" s="15">
        <v>795105</v>
      </c>
      <c r="D164" s="12"/>
      <c r="M164" s="3" t="s">
        <v>44</v>
      </c>
      <c r="O164" s="3" t="s">
        <v>53</v>
      </c>
    </row>
    <row r="170" spans="1:15" x14ac:dyDescent="0.2">
      <c r="A170" s="1" t="s">
        <v>42</v>
      </c>
      <c r="B170" s="4"/>
      <c r="C170" s="4"/>
      <c r="D170" s="4"/>
      <c r="E170" s="4"/>
      <c r="F170" s="4"/>
    </row>
    <row r="171" spans="1:15" x14ac:dyDescent="0.2">
      <c r="A171" s="4" t="s">
        <v>25</v>
      </c>
      <c r="B171" s="4"/>
      <c r="C171" s="4"/>
      <c r="D171" s="4"/>
      <c r="E171" s="4"/>
      <c r="F171" s="4"/>
    </row>
    <row r="172" spans="1:15" ht="40.799999999999997" x14ac:dyDescent="0.2">
      <c r="A172" s="4"/>
      <c r="B172" s="4"/>
      <c r="C172" s="13" t="s">
        <v>27</v>
      </c>
      <c r="D172" s="13" t="s">
        <v>28</v>
      </c>
      <c r="E172" s="13" t="s">
        <v>29</v>
      </c>
      <c r="F172" s="13" t="s">
        <v>30</v>
      </c>
      <c r="L172" s="6" t="s">
        <v>19</v>
      </c>
    </row>
    <row r="173" spans="1:15" x14ac:dyDescent="0.2">
      <c r="A173" s="2"/>
      <c r="B173" s="8" t="s">
        <v>23</v>
      </c>
      <c r="C173" s="9">
        <f>G159/D159</f>
        <v>0.76631668033859435</v>
      </c>
      <c r="D173" s="9">
        <f>H159/D159</f>
        <v>0.44555219160753629</v>
      </c>
      <c r="E173" s="9">
        <f>I159/D159</f>
        <v>0.49316232015424222</v>
      </c>
      <c r="F173" s="9">
        <f>J159/D159</f>
        <v>1.5181529902855031</v>
      </c>
      <c r="K173" s="8" t="s">
        <v>23</v>
      </c>
      <c r="L173" s="17">
        <f>I148/C159</f>
        <v>0.71587212994861338</v>
      </c>
    </row>
    <row r="174" spans="1:15" x14ac:dyDescent="0.2">
      <c r="A174" s="2"/>
      <c r="B174" s="4" t="s">
        <v>32</v>
      </c>
      <c r="C174" s="9">
        <f>G160/D160</f>
        <v>0.83532054994047378</v>
      </c>
      <c r="D174" s="9">
        <f>H160/D160</f>
        <v>1.5155408765943195</v>
      </c>
      <c r="E174" s="9">
        <f>I160/D160</f>
        <v>1.5892609885998732</v>
      </c>
      <c r="F174" s="9">
        <f>J160/D160</f>
        <v>0.55319168205562297</v>
      </c>
      <c r="K174" s="8" t="s">
        <v>32</v>
      </c>
      <c r="L174" s="17">
        <f>I149/C160</f>
        <v>0.26085283251231528</v>
      </c>
    </row>
    <row r="175" spans="1:15" x14ac:dyDescent="0.2">
      <c r="A175" s="2"/>
      <c r="B175" s="4" t="s">
        <v>20</v>
      </c>
      <c r="C175" s="9">
        <f>G161/D161</f>
        <v>2.641710557880705</v>
      </c>
      <c r="D175" s="9">
        <f>H161/D161</f>
        <v>1.6799157560624385</v>
      </c>
      <c r="E175" s="9">
        <f>I161/D161</f>
        <v>0.83690645218349125</v>
      </c>
      <c r="F175" s="9">
        <f>J161/D161</f>
        <v>0.42471089736290329</v>
      </c>
      <c r="K175" s="8" t="s">
        <v>20</v>
      </c>
      <c r="L175" s="17">
        <f>I150/C161</f>
        <v>0.20026881128126034</v>
      </c>
    </row>
    <row r="176" spans="1:15" x14ac:dyDescent="0.2">
      <c r="A176" s="2"/>
      <c r="B176" s="4" t="s">
        <v>21</v>
      </c>
      <c r="C176" s="9">
        <f>G162/D162</f>
        <v>0.21750640077128836</v>
      </c>
      <c r="D176" s="9">
        <f>H162/D162</f>
        <v>0.66301026263049978</v>
      </c>
      <c r="E176" s="9">
        <f>I162/D162</f>
        <v>1.0440573216334255</v>
      </c>
      <c r="F176" s="9">
        <f>J162/D162</f>
        <v>1.2964188726888359</v>
      </c>
      <c r="K176" s="8" t="s">
        <v>21</v>
      </c>
      <c r="L176" s="17">
        <f>I151/C162</f>
        <v>0.61131529275109808</v>
      </c>
    </row>
    <row r="179" spans="1:15" x14ac:dyDescent="0.2">
      <c r="A179" s="1" t="s">
        <v>55</v>
      </c>
      <c r="B179" s="2"/>
      <c r="C179" s="2"/>
      <c r="D179" s="2"/>
      <c r="E179" s="2"/>
      <c r="F179" s="2"/>
    </row>
    <row r="180" spans="1:15" x14ac:dyDescent="0.2">
      <c r="A180" s="4" t="s">
        <v>25</v>
      </c>
      <c r="B180" s="2"/>
      <c r="C180" s="2"/>
      <c r="D180" s="2"/>
      <c r="E180" s="2"/>
      <c r="F180" s="2"/>
    </row>
    <row r="181" spans="1:15" ht="40.799999999999997" x14ac:dyDescent="0.2">
      <c r="A181" s="5"/>
      <c r="B181" s="5"/>
      <c r="C181" s="6" t="s">
        <v>11</v>
      </c>
      <c r="D181" s="6" t="s">
        <v>10</v>
      </c>
      <c r="E181" s="6" t="s">
        <v>12</v>
      </c>
      <c r="F181" s="6" t="s">
        <v>13</v>
      </c>
      <c r="G181" s="6" t="s">
        <v>14</v>
      </c>
      <c r="H181" s="6" t="s">
        <v>17</v>
      </c>
      <c r="I181" s="6" t="s">
        <v>18</v>
      </c>
      <c r="J181" s="6" t="s">
        <v>19</v>
      </c>
      <c r="M181" s="18" t="s">
        <v>50</v>
      </c>
    </row>
    <row r="182" spans="1:15" x14ac:dyDescent="0.2">
      <c r="A182" s="2"/>
      <c r="B182" s="8" t="s">
        <v>23</v>
      </c>
      <c r="C182" s="15">
        <v>4103</v>
      </c>
      <c r="D182" s="12">
        <f>C182/C187</f>
        <v>4.4915161466885602E-2</v>
      </c>
      <c r="E182" s="15">
        <v>6812</v>
      </c>
      <c r="F182" s="12">
        <f>E182/E187</f>
        <v>5.0079765921939669E-2</v>
      </c>
      <c r="G182" s="15">
        <v>9192</v>
      </c>
      <c r="H182" s="12">
        <f>G182/G187</f>
        <v>4.5153335658461587E-2</v>
      </c>
      <c r="I182" s="15">
        <v>33388</v>
      </c>
      <c r="J182" s="12">
        <f>I182/I187</f>
        <v>8.6650731735168698E-2</v>
      </c>
      <c r="M182" s="3" t="s">
        <v>49</v>
      </c>
      <c r="N182" s="3" t="s">
        <v>53</v>
      </c>
    </row>
    <row r="183" spans="1:15" x14ac:dyDescent="0.2">
      <c r="A183" s="2"/>
      <c r="B183" s="8" t="s">
        <v>32</v>
      </c>
      <c r="C183" s="15">
        <v>6430</v>
      </c>
      <c r="D183" s="12">
        <f>C183/C187</f>
        <v>7.0388615216201419E-2</v>
      </c>
      <c r="E183" s="15">
        <v>19260</v>
      </c>
      <c r="F183" s="12">
        <f>E183/E187</f>
        <v>0.14159370106526104</v>
      </c>
      <c r="G183" s="15">
        <v>21745</v>
      </c>
      <c r="H183" s="12">
        <f>G183/G187</f>
        <v>0.10681671930953515</v>
      </c>
      <c r="I183" s="15">
        <v>16645</v>
      </c>
      <c r="J183" s="12">
        <f>I183/I187</f>
        <v>4.3198197847486616E-2</v>
      </c>
      <c r="M183" s="3" t="s">
        <v>52</v>
      </c>
      <c r="N183" s="3" t="s">
        <v>53</v>
      </c>
    </row>
    <row r="184" spans="1:15" x14ac:dyDescent="0.2">
      <c r="A184" s="2"/>
      <c r="B184" s="8" t="s">
        <v>20</v>
      </c>
      <c r="C184" s="15">
        <v>68178</v>
      </c>
      <c r="D184" s="12">
        <f>C184/C187</f>
        <v>0.74633825944170773</v>
      </c>
      <c r="E184" s="15">
        <v>60505</v>
      </c>
      <c r="F184" s="12">
        <f>E184/E187</f>
        <v>0.44481447990413386</v>
      </c>
      <c r="G184" s="15">
        <v>51675</v>
      </c>
      <c r="H184" s="12">
        <f>G184/G187</f>
        <v>0.25384014579536579</v>
      </c>
      <c r="I184" s="15">
        <v>53379</v>
      </c>
      <c r="J184" s="12">
        <f>I184/I187</f>
        <v>0.13853268866932941</v>
      </c>
      <c r="M184" s="3" t="s">
        <v>45</v>
      </c>
      <c r="N184" s="3" t="s">
        <v>53</v>
      </c>
    </row>
    <row r="185" spans="1:15" x14ac:dyDescent="0.2">
      <c r="A185" s="2"/>
      <c r="B185" s="8" t="s">
        <v>21</v>
      </c>
      <c r="C185" s="15">
        <v>12563</v>
      </c>
      <c r="D185" s="12">
        <f>C185/C187</f>
        <v>0.13752599890530925</v>
      </c>
      <c r="E185" s="15">
        <v>47610</v>
      </c>
      <c r="F185" s="12">
        <f>E185/E187</f>
        <v>0.3500143358108555</v>
      </c>
      <c r="G185" s="15">
        <v>115814</v>
      </c>
      <c r="H185" s="12">
        <f>G185/G187</f>
        <v>0.56890648563414603</v>
      </c>
      <c r="I185" s="15">
        <v>273934</v>
      </c>
      <c r="J185" s="12">
        <f>I185/I187</f>
        <v>0.71093151872354454</v>
      </c>
      <c r="M185" s="3" t="s">
        <v>43</v>
      </c>
      <c r="N185" s="3" t="s">
        <v>53</v>
      </c>
    </row>
    <row r="187" spans="1:15" x14ac:dyDescent="0.2">
      <c r="B187" s="8" t="s">
        <v>15</v>
      </c>
      <c r="C187" s="3">
        <v>91350</v>
      </c>
      <c r="E187" s="3">
        <v>136023</v>
      </c>
      <c r="G187" s="3">
        <v>203573</v>
      </c>
      <c r="I187" s="3">
        <v>385317</v>
      </c>
      <c r="J187" s="15"/>
      <c r="M187" s="3" t="s">
        <v>54</v>
      </c>
      <c r="O187" s="3" t="s">
        <v>53</v>
      </c>
    </row>
    <row r="192" spans="1:15" ht="40.799999999999997" x14ac:dyDescent="0.2">
      <c r="B192" s="5"/>
      <c r="C192" s="6" t="s">
        <v>6</v>
      </c>
      <c r="D192" s="6" t="s">
        <v>7</v>
      </c>
      <c r="G192" s="7" t="s">
        <v>37</v>
      </c>
      <c r="H192" s="7" t="s">
        <v>38</v>
      </c>
      <c r="I192" s="7" t="s">
        <v>39</v>
      </c>
      <c r="J192" s="7" t="s">
        <v>40</v>
      </c>
      <c r="M192" s="18" t="s">
        <v>50</v>
      </c>
    </row>
    <row r="193" spans="1:15" x14ac:dyDescent="0.2">
      <c r="B193" s="8" t="s">
        <v>23</v>
      </c>
      <c r="C193" s="15">
        <v>53495</v>
      </c>
      <c r="D193" s="11">
        <f>C193/C198</f>
        <v>6.5536475376196154E-2</v>
      </c>
      <c r="F193" s="8" t="s">
        <v>23</v>
      </c>
      <c r="G193" s="12">
        <f>D182</f>
        <v>4.4915161466885602E-2</v>
      </c>
      <c r="H193" s="12">
        <f>F182</f>
        <v>5.0079765921939669E-2</v>
      </c>
      <c r="I193" s="12">
        <f>H182</f>
        <v>4.5153335658461587E-2</v>
      </c>
      <c r="J193" s="12">
        <f>J182</f>
        <v>8.6650731735168698E-2</v>
      </c>
      <c r="M193" s="3" t="s">
        <v>51</v>
      </c>
      <c r="N193" s="3" t="s">
        <v>53</v>
      </c>
    </row>
    <row r="194" spans="1:15" x14ac:dyDescent="0.2">
      <c r="B194" s="8" t="s">
        <v>32</v>
      </c>
      <c r="C194" s="15">
        <v>64080</v>
      </c>
      <c r="D194" s="11">
        <f>C194/C198</f>
        <v>7.8504109582328244E-2</v>
      </c>
      <c r="F194" s="8" t="s">
        <v>32</v>
      </c>
      <c r="G194" s="12">
        <f>D183</f>
        <v>7.0388615216201419E-2</v>
      </c>
      <c r="H194" s="12">
        <f>F183</f>
        <v>0.14159370106526104</v>
      </c>
      <c r="I194" s="12">
        <f>H183</f>
        <v>0.10681671930953515</v>
      </c>
      <c r="J194" s="12">
        <f>J183</f>
        <v>4.3198197847486616E-2</v>
      </c>
      <c r="M194" s="3" t="s">
        <v>46</v>
      </c>
      <c r="N194" s="3" t="s">
        <v>53</v>
      </c>
    </row>
    <row r="195" spans="1:15" x14ac:dyDescent="0.2">
      <c r="B195" s="8" t="s">
        <v>20</v>
      </c>
      <c r="C195" s="15">
        <v>233737</v>
      </c>
      <c r="D195" s="11">
        <f>C195/C198</f>
        <v>0.28635011019732609</v>
      </c>
      <c r="F195" s="8" t="s">
        <v>20</v>
      </c>
      <c r="G195" s="12">
        <f>D184</f>
        <v>0.74633825944170773</v>
      </c>
      <c r="H195" s="12">
        <f>F184</f>
        <v>0.44481447990413386</v>
      </c>
      <c r="I195" s="12">
        <f>H184</f>
        <v>0.25384014579536579</v>
      </c>
      <c r="J195" s="12">
        <f>J184</f>
        <v>0.13853268866932941</v>
      </c>
      <c r="M195" s="3" t="s">
        <v>47</v>
      </c>
      <c r="N195" s="3" t="s">
        <v>53</v>
      </c>
    </row>
    <row r="196" spans="1:15" x14ac:dyDescent="0.2">
      <c r="B196" s="8" t="s">
        <v>21</v>
      </c>
      <c r="C196" s="15">
        <v>449921</v>
      </c>
      <c r="D196" s="11">
        <f>C196/C198</f>
        <v>0.55119612183818201</v>
      </c>
      <c r="F196" s="8" t="s">
        <v>21</v>
      </c>
      <c r="G196" s="12">
        <f>D185</f>
        <v>0.13752599890530925</v>
      </c>
      <c r="H196" s="12">
        <f>F185</f>
        <v>0.3500143358108555</v>
      </c>
      <c r="I196" s="12">
        <f>H185</f>
        <v>0.56890648563414603</v>
      </c>
      <c r="J196" s="12">
        <f>J185</f>
        <v>0.71093151872354454</v>
      </c>
      <c r="M196" s="3" t="s">
        <v>48</v>
      </c>
      <c r="N196" s="3" t="s">
        <v>53</v>
      </c>
    </row>
    <row r="197" spans="1:15" x14ac:dyDescent="0.2">
      <c r="C197" s="15"/>
    </row>
    <row r="198" spans="1:15" x14ac:dyDescent="0.2">
      <c r="B198" s="8" t="s">
        <v>15</v>
      </c>
      <c r="C198" s="15">
        <v>816263</v>
      </c>
      <c r="D198" s="12"/>
      <c r="M198" s="3" t="s">
        <v>44</v>
      </c>
      <c r="O198" s="3" t="s">
        <v>53</v>
      </c>
    </row>
    <row r="204" spans="1:15" x14ac:dyDescent="0.2">
      <c r="A204" s="1" t="s">
        <v>55</v>
      </c>
      <c r="B204" s="4"/>
      <c r="C204" s="4"/>
      <c r="D204" s="4"/>
      <c r="E204" s="4"/>
      <c r="F204" s="4"/>
    </row>
    <row r="205" spans="1:15" x14ac:dyDescent="0.2">
      <c r="A205" s="4" t="s">
        <v>25</v>
      </c>
      <c r="B205" s="4"/>
      <c r="C205" s="4"/>
      <c r="D205" s="4"/>
      <c r="E205" s="4"/>
      <c r="F205" s="4"/>
    </row>
    <row r="206" spans="1:15" ht="40.799999999999997" x14ac:dyDescent="0.2">
      <c r="A206" s="4"/>
      <c r="B206" s="4"/>
      <c r="C206" s="13" t="s">
        <v>27</v>
      </c>
      <c r="D206" s="13" t="s">
        <v>28</v>
      </c>
      <c r="E206" s="13" t="s">
        <v>29</v>
      </c>
      <c r="F206" s="13" t="s">
        <v>30</v>
      </c>
      <c r="L206" s="6" t="s">
        <v>19</v>
      </c>
    </row>
    <row r="207" spans="1:15" x14ac:dyDescent="0.2">
      <c r="A207" s="2"/>
      <c r="B207" s="8" t="s">
        <v>23</v>
      </c>
      <c r="C207" s="9">
        <f>G193/D193</f>
        <v>0.68534600326094852</v>
      </c>
      <c r="D207" s="9">
        <f>H193/D193</f>
        <v>0.76415104160650971</v>
      </c>
      <c r="E207" s="9">
        <f>I193/D193</f>
        <v>0.68898022664889857</v>
      </c>
      <c r="F207" s="9">
        <f>J193/D193</f>
        <v>1.3221756470388635</v>
      </c>
      <c r="K207" s="8" t="s">
        <v>23</v>
      </c>
      <c r="L207" s="17">
        <f>I182/C193</f>
        <v>0.62413309655107951</v>
      </c>
    </row>
    <row r="208" spans="1:15" x14ac:dyDescent="0.2">
      <c r="A208" s="2"/>
      <c r="B208" s="4" t="s">
        <v>32</v>
      </c>
      <c r="C208" s="9">
        <f>G194/D194</f>
        <v>0.89662331807462892</v>
      </c>
      <c r="D208" s="9">
        <f>H194/D194</f>
        <v>1.8036469914580706</v>
      </c>
      <c r="E208" s="9">
        <f>I194/D194</f>
        <v>1.3606513070187125</v>
      </c>
      <c r="F208" s="9">
        <f>J194/D194</f>
        <v>0.55026670676627598</v>
      </c>
      <c r="K208" s="8" t="s">
        <v>32</v>
      </c>
      <c r="L208" s="17">
        <f>I183/C194</f>
        <v>0.25975343320848937</v>
      </c>
    </row>
    <row r="209" spans="1:15" x14ac:dyDescent="0.2">
      <c r="A209" s="2"/>
      <c r="B209" s="4" t="s">
        <v>20</v>
      </c>
      <c r="C209" s="9">
        <f>G195/D195</f>
        <v>2.6063836990577731</v>
      </c>
      <c r="D209" s="9">
        <f>H195/D195</f>
        <v>1.5533937793759141</v>
      </c>
      <c r="E209" s="9">
        <f>I195/D195</f>
        <v>0.8864677775763472</v>
      </c>
      <c r="F209" s="9">
        <f>J195/D195</f>
        <v>0.48378779590434051</v>
      </c>
      <c r="K209" s="8" t="s">
        <v>20</v>
      </c>
      <c r="L209" s="17">
        <f>I184/C195</f>
        <v>0.22837205919473597</v>
      </c>
    </row>
    <row r="210" spans="1:15" x14ac:dyDescent="0.2">
      <c r="A210" s="2"/>
      <c r="B210" s="4" t="s">
        <v>21</v>
      </c>
      <c r="C210" s="9">
        <f>G196/D196</f>
        <v>0.24950465624952928</v>
      </c>
      <c r="D210" s="9">
        <f>H196/D196</f>
        <v>0.63500870551047039</v>
      </c>
      <c r="E210" s="9">
        <f>I196/D196</f>
        <v>1.0321307844781307</v>
      </c>
      <c r="F210" s="9">
        <f>J196/D196</f>
        <v>1.2897977517560564</v>
      </c>
      <c r="K210" s="8" t="s">
        <v>21</v>
      </c>
      <c r="L210" s="17">
        <f>I185/C196</f>
        <v>0.6088491090658138</v>
      </c>
    </row>
    <row r="214" spans="1:15" x14ac:dyDescent="0.2">
      <c r="A214" s="1" t="s">
        <v>56</v>
      </c>
      <c r="B214" s="2"/>
      <c r="C214" s="2"/>
      <c r="D214" s="2"/>
      <c r="E214" s="2"/>
      <c r="F214" s="2"/>
    </row>
    <row r="215" spans="1:15" x14ac:dyDescent="0.2">
      <c r="A215" s="4" t="s">
        <v>25</v>
      </c>
      <c r="B215" s="2"/>
      <c r="C215" s="2"/>
      <c r="D215" s="2"/>
      <c r="E215" s="2"/>
      <c r="F215" s="2"/>
    </row>
    <row r="216" spans="1:15" ht="40.799999999999997" x14ac:dyDescent="0.2">
      <c r="A216" s="5"/>
      <c r="B216" s="5"/>
      <c r="C216" s="6" t="s">
        <v>11</v>
      </c>
      <c r="D216" s="6" t="s">
        <v>10</v>
      </c>
      <c r="E216" s="6" t="s">
        <v>12</v>
      </c>
      <c r="F216" s="6" t="s">
        <v>13</v>
      </c>
      <c r="G216" s="6" t="s">
        <v>14</v>
      </c>
      <c r="H216" s="6" t="s">
        <v>17</v>
      </c>
      <c r="I216" s="6" t="s">
        <v>18</v>
      </c>
      <c r="J216" s="6" t="s">
        <v>19</v>
      </c>
      <c r="M216" s="18" t="s">
        <v>50</v>
      </c>
    </row>
    <row r="217" spans="1:15" x14ac:dyDescent="0.2">
      <c r="A217" s="2"/>
      <c r="B217" s="8" t="s">
        <v>23</v>
      </c>
      <c r="C217" s="15">
        <v>3602</v>
      </c>
      <c r="D217" s="12">
        <f>C217/C222</f>
        <v>4.4239744534512404E-2</v>
      </c>
      <c r="E217" s="15">
        <v>4732</v>
      </c>
      <c r="F217" s="12">
        <f>E217/E222</f>
        <v>3.1001860635760894E-2</v>
      </c>
      <c r="G217" s="15">
        <v>7276</v>
      </c>
      <c r="H217" s="12">
        <f>G217/G222</f>
        <v>3.7961673110133723E-2</v>
      </c>
      <c r="I217" s="15">
        <v>41625</v>
      </c>
      <c r="J217" s="12">
        <f>I217/I222</f>
        <v>9.992917932036155E-2</v>
      </c>
      <c r="M217" s="3" t="s">
        <v>49</v>
      </c>
      <c r="N217" s="3" t="s">
        <v>53</v>
      </c>
    </row>
    <row r="218" spans="1:15" x14ac:dyDescent="0.2">
      <c r="A218" s="2"/>
      <c r="B218" s="8" t="s">
        <v>32</v>
      </c>
      <c r="C218" s="15">
        <v>6617</v>
      </c>
      <c r="D218" s="12">
        <f>C218/C222</f>
        <v>8.1269958241218368E-2</v>
      </c>
      <c r="E218" s="15">
        <v>23646</v>
      </c>
      <c r="F218" s="12">
        <f>E218/E222</f>
        <v>0.15491758169763359</v>
      </c>
      <c r="G218" s="15">
        <v>18649</v>
      </c>
      <c r="H218" s="12">
        <f>G218/G222</f>
        <v>9.7298961219197885E-2</v>
      </c>
      <c r="I218" s="15">
        <v>18758</v>
      </c>
      <c r="J218" s="12">
        <f>I218/I222</f>
        <v>4.503234944603824E-2</v>
      </c>
      <c r="M218" s="3" t="s">
        <v>52</v>
      </c>
      <c r="N218" s="3" t="s">
        <v>53</v>
      </c>
    </row>
    <row r="219" spans="1:15" x14ac:dyDescent="0.2">
      <c r="A219" s="2"/>
      <c r="B219" s="8" t="s">
        <v>20</v>
      </c>
      <c r="C219" s="15">
        <v>58105</v>
      </c>
      <c r="D219" s="12">
        <f>C219/C222</f>
        <v>0.71364529599606974</v>
      </c>
      <c r="E219" s="15">
        <v>72772</v>
      </c>
      <c r="F219" s="12">
        <f>E219/E222</f>
        <v>0.4767682591262874</v>
      </c>
      <c r="G219" s="15">
        <v>50903</v>
      </c>
      <c r="H219" s="12">
        <f>G219/G222</f>
        <v>0.26558040768624752</v>
      </c>
      <c r="I219" s="15">
        <v>61280</v>
      </c>
      <c r="J219" s="12">
        <f>I219/I222</f>
        <v>0.14711495756760976</v>
      </c>
      <c r="M219" s="3" t="s">
        <v>45</v>
      </c>
      <c r="N219" s="3" t="s">
        <v>53</v>
      </c>
    </row>
    <row r="220" spans="1:15" x14ac:dyDescent="0.2">
      <c r="A220" s="2"/>
      <c r="B220" s="8" t="s">
        <v>21</v>
      </c>
      <c r="C220" s="15">
        <v>12580</v>
      </c>
      <c r="D220" s="12">
        <f>C220/C222</f>
        <v>0.15450749201670352</v>
      </c>
      <c r="E220" s="15">
        <v>50624</v>
      </c>
      <c r="F220" s="12">
        <f>E220/E222</f>
        <v>0.33166487591393906</v>
      </c>
      <c r="G220" s="15">
        <v>109036</v>
      </c>
      <c r="H220" s="12">
        <f>G220/G222</f>
        <v>0.56888248890001936</v>
      </c>
      <c r="I220" s="15">
        <v>287132</v>
      </c>
      <c r="J220" s="12">
        <f>I220/I222</f>
        <v>0.68931808087961688</v>
      </c>
      <c r="M220" s="3" t="s">
        <v>43</v>
      </c>
      <c r="N220" s="3" t="s">
        <v>53</v>
      </c>
    </row>
    <row r="221" spans="1:15" x14ac:dyDescent="0.2">
      <c r="C221" s="21"/>
      <c r="D221" s="21"/>
      <c r="E221" s="21"/>
      <c r="F221" s="21"/>
      <c r="G221" s="21"/>
      <c r="H221" s="21"/>
      <c r="I221" s="21"/>
      <c r="J221" s="21"/>
    </row>
    <row r="222" spans="1:15" x14ac:dyDescent="0.2">
      <c r="B222" s="8" t="s">
        <v>15</v>
      </c>
      <c r="C222" s="15">
        <f>SUM(18356+22352+21894+18818)</f>
        <v>81420</v>
      </c>
      <c r="D222" s="21"/>
      <c r="E222" s="15">
        <f>SUM(78238+74398)</f>
        <v>152636</v>
      </c>
      <c r="F222" s="21"/>
      <c r="G222" s="15">
        <f>(72190+23489+69763+26225)</f>
        <v>191667</v>
      </c>
      <c r="H222" s="21"/>
      <c r="I222" s="3">
        <f>(131828+77511+134682+72524)</f>
        <v>416545</v>
      </c>
      <c r="J222" s="19"/>
      <c r="M222" s="3" t="s">
        <v>54</v>
      </c>
      <c r="O222" s="3" t="s">
        <v>53</v>
      </c>
    </row>
    <row r="227" spans="1:15" ht="40.799999999999997" x14ac:dyDescent="0.2">
      <c r="B227" s="5"/>
      <c r="C227" s="6" t="s">
        <v>6</v>
      </c>
      <c r="D227" s="6" t="s">
        <v>7</v>
      </c>
      <c r="G227" s="7" t="s">
        <v>37</v>
      </c>
      <c r="H227" s="7" t="s">
        <v>38</v>
      </c>
      <c r="I227" s="7" t="s">
        <v>39</v>
      </c>
      <c r="J227" s="7" t="s">
        <v>40</v>
      </c>
      <c r="M227" s="18" t="s">
        <v>50</v>
      </c>
    </row>
    <row r="228" spans="1:15" x14ac:dyDescent="0.2">
      <c r="B228" s="8" t="s">
        <v>23</v>
      </c>
      <c r="C228" s="15">
        <v>57235</v>
      </c>
      <c r="D228" s="12">
        <f>C228/C233</f>
        <v>6.7951010212537605E-2</v>
      </c>
      <c r="F228" s="8" t="s">
        <v>23</v>
      </c>
      <c r="G228" s="12">
        <f>D217</f>
        <v>4.4239744534512404E-2</v>
      </c>
      <c r="H228" s="12">
        <f>F217</f>
        <v>3.1001860635760894E-2</v>
      </c>
      <c r="I228" s="12">
        <f>H217</f>
        <v>3.7961673110133723E-2</v>
      </c>
      <c r="J228" s="12">
        <f>J217</f>
        <v>9.992917932036155E-2</v>
      </c>
      <c r="M228" s="3" t="s">
        <v>51</v>
      </c>
      <c r="N228" s="3" t="s">
        <v>53</v>
      </c>
    </row>
    <row r="229" spans="1:15" x14ac:dyDescent="0.2">
      <c r="B229" s="8" t="s">
        <v>32</v>
      </c>
      <c r="C229" s="15">
        <v>67670</v>
      </c>
      <c r="D229" s="12">
        <f>C229/C233</f>
        <v>8.0339737242638584E-2</v>
      </c>
      <c r="F229" s="8" t="s">
        <v>32</v>
      </c>
      <c r="G229" s="12">
        <f>D218</f>
        <v>8.1269958241218368E-2</v>
      </c>
      <c r="H229" s="12">
        <f>F218</f>
        <v>0.15491758169763359</v>
      </c>
      <c r="I229" s="12">
        <f>H218</f>
        <v>9.7298961219197885E-2</v>
      </c>
      <c r="J229" s="12">
        <f>J218</f>
        <v>4.503234944603824E-2</v>
      </c>
      <c r="M229" s="3" t="s">
        <v>46</v>
      </c>
      <c r="N229" s="3" t="s">
        <v>53</v>
      </c>
    </row>
    <row r="230" spans="1:15" x14ac:dyDescent="0.2">
      <c r="B230" s="8" t="s">
        <v>20</v>
      </c>
      <c r="C230" s="15">
        <v>243060</v>
      </c>
      <c r="D230" s="12">
        <f>C230/C233</f>
        <v>0.28856770406673171</v>
      </c>
      <c r="F230" s="8" t="s">
        <v>20</v>
      </c>
      <c r="G230" s="12">
        <f>D219</f>
        <v>0.71364529599606974</v>
      </c>
      <c r="H230" s="12">
        <f>F219</f>
        <v>0.4767682591262874</v>
      </c>
      <c r="I230" s="12">
        <f>H219</f>
        <v>0.26558040768624752</v>
      </c>
      <c r="J230" s="12">
        <f>J219</f>
        <v>0.14711495756760976</v>
      </c>
      <c r="M230" s="3" t="s">
        <v>47</v>
      </c>
      <c r="N230" s="3" t="s">
        <v>53</v>
      </c>
    </row>
    <row r="231" spans="1:15" x14ac:dyDescent="0.2">
      <c r="B231" s="8" t="s">
        <v>21</v>
      </c>
      <c r="C231" s="15">
        <v>459372</v>
      </c>
      <c r="D231" s="12">
        <f>C231/C233</f>
        <v>0.54537942628380931</v>
      </c>
      <c r="F231" s="8" t="s">
        <v>21</v>
      </c>
      <c r="G231" s="12">
        <f>D220</f>
        <v>0.15450749201670352</v>
      </c>
      <c r="H231" s="12">
        <f>F220</f>
        <v>0.33166487591393906</v>
      </c>
      <c r="I231" s="12">
        <f>H220</f>
        <v>0.56888248890001936</v>
      </c>
      <c r="J231" s="12">
        <f>J220</f>
        <v>0.68931808087961688</v>
      </c>
      <c r="M231" s="3" t="s">
        <v>48</v>
      </c>
      <c r="N231" s="3" t="s">
        <v>53</v>
      </c>
    </row>
    <row r="232" spans="1:15" x14ac:dyDescent="0.2">
      <c r="C232" s="15"/>
      <c r="D232" s="21"/>
    </row>
    <row r="233" spans="1:15" x14ac:dyDescent="0.2">
      <c r="B233" s="8" t="s">
        <v>15</v>
      </c>
      <c r="C233" s="15">
        <v>842298</v>
      </c>
      <c r="D233" s="20"/>
      <c r="M233" s="3" t="s">
        <v>44</v>
      </c>
      <c r="O233" s="3" t="s">
        <v>53</v>
      </c>
    </row>
    <row r="235" spans="1:15" x14ac:dyDescent="0.2">
      <c r="G235" s="12"/>
    </row>
    <row r="239" spans="1:15" x14ac:dyDescent="0.2">
      <c r="A239" s="1" t="s">
        <v>56</v>
      </c>
      <c r="B239" s="4"/>
      <c r="C239" s="4"/>
      <c r="D239" s="4"/>
      <c r="E239" s="4"/>
      <c r="F239" s="4"/>
    </row>
    <row r="240" spans="1:15" x14ac:dyDescent="0.2">
      <c r="A240" s="4" t="s">
        <v>25</v>
      </c>
      <c r="B240" s="4"/>
      <c r="C240" s="4"/>
      <c r="D240" s="4"/>
      <c r="E240" s="4"/>
      <c r="F240" s="4"/>
    </row>
    <row r="241" spans="1:12" ht="40.799999999999997" x14ac:dyDescent="0.2">
      <c r="A241" s="4"/>
      <c r="B241" s="4"/>
      <c r="C241" s="13" t="s">
        <v>27</v>
      </c>
      <c r="D241" s="13" t="s">
        <v>28</v>
      </c>
      <c r="E241" s="13" t="s">
        <v>29</v>
      </c>
      <c r="F241" s="13" t="s">
        <v>30</v>
      </c>
      <c r="L241" s="6" t="s">
        <v>19</v>
      </c>
    </row>
    <row r="242" spans="1:12" x14ac:dyDescent="0.2">
      <c r="A242" s="2"/>
      <c r="B242" s="8" t="s">
        <v>23</v>
      </c>
      <c r="C242" s="22">
        <f>G228/D228</f>
        <v>0.6510535221792737</v>
      </c>
      <c r="D242" s="22">
        <f>H228/D228</f>
        <v>0.4562384067402836</v>
      </c>
      <c r="E242" s="22">
        <f>I228/D228</f>
        <v>0.55866238031483206</v>
      </c>
      <c r="F242" s="22">
        <f>J228/D228</f>
        <v>1.4706062354010989</v>
      </c>
      <c r="K242" s="8" t="s">
        <v>23</v>
      </c>
      <c r="L242" s="17">
        <f>I217/C228</f>
        <v>0.72726478553332752</v>
      </c>
    </row>
    <row r="243" spans="1:12" x14ac:dyDescent="0.2">
      <c r="A243" s="2"/>
      <c r="B243" s="4" t="s">
        <v>32</v>
      </c>
      <c r="C243" s="22">
        <f>G229/D229</f>
        <v>1.0115785914978832</v>
      </c>
      <c r="D243" s="22">
        <f>H229/D229</f>
        <v>1.9282809107248913</v>
      </c>
      <c r="E243" s="22">
        <f>I229/D229</f>
        <v>1.2110938441999106</v>
      </c>
      <c r="F243" s="22">
        <f>J229/D229</f>
        <v>0.56052398217377153</v>
      </c>
      <c r="K243" s="8" t="s">
        <v>32</v>
      </c>
      <c r="L243" s="17">
        <f>I218/C229</f>
        <v>0.27719816757795185</v>
      </c>
    </row>
    <row r="244" spans="1:12" x14ac:dyDescent="0.2">
      <c r="A244" s="2"/>
      <c r="B244" s="4" t="s">
        <v>20</v>
      </c>
      <c r="C244" s="22">
        <f>G230/D230</f>
        <v>2.4730601724960817</v>
      </c>
      <c r="D244" s="22">
        <f>H230/D230</f>
        <v>1.652188558897201</v>
      </c>
      <c r="E244" s="22">
        <f>I230/D230</f>
        <v>0.92034002399946901</v>
      </c>
      <c r="F244" s="22">
        <f>J230/D230</f>
        <v>0.50981088837851796</v>
      </c>
      <c r="K244" s="8" t="s">
        <v>20</v>
      </c>
      <c r="L244" s="17">
        <f>I219/C230</f>
        <v>0.25211881839874928</v>
      </c>
    </row>
    <row r="245" spans="1:12" x14ac:dyDescent="0.2">
      <c r="A245" s="2"/>
      <c r="B245" s="4" t="s">
        <v>21</v>
      </c>
      <c r="C245" s="22">
        <f>G231/D231</f>
        <v>0.28330275138816763</v>
      </c>
      <c r="D245" s="22">
        <f>H231/D231</f>
        <v>0.60813602407756462</v>
      </c>
      <c r="E245" s="22">
        <f>I231/D231</f>
        <v>1.0430948830914999</v>
      </c>
      <c r="F245" s="22">
        <f>J231/D231</f>
        <v>1.2639238806212383</v>
      </c>
      <c r="K245" s="8" t="s">
        <v>21</v>
      </c>
      <c r="L245" s="17">
        <f>I220/C231</f>
        <v>0.62505333368163496</v>
      </c>
    </row>
  </sheetData>
  <phoneticPr fontId="3" type="noConversion"/>
  <pageMargins left="0.7" right="0.7" top="0.75" bottom="0.75" header="0.3" footer="0.3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Educational Attainment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2013-02-06T15:10:20Z</dcterms:created>
  <dcterms:modified xsi:type="dcterms:W3CDTF">2019-09-16T20:44:33Z</dcterms:modified>
</cp:coreProperties>
</file>